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l\Desktop\"/>
    </mc:Choice>
  </mc:AlternateContent>
  <bookViews>
    <workbookView xWindow="0" yWindow="0" windowWidth="21570" windowHeight="8085" activeTab="1"/>
  </bookViews>
  <sheets>
    <sheet name="КР" sheetId="1" r:id="rId1"/>
    <sheet name="Свод" sheetId="2" r:id="rId2"/>
  </sheets>
  <calcPr calcId="162913"/>
  <pivotCaches>
    <pivotCache cacheId="14" r:id="rId3"/>
  </pivotCaches>
</workbook>
</file>

<file path=xl/calcChain.xml><?xml version="1.0" encoding="utf-8"?>
<calcChain xmlns="http://schemas.openxmlformats.org/spreadsheetml/2006/main">
  <c r="A466" i="1" l="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comments1.xml><?xml version="1.0" encoding="utf-8"?>
<comments xmlns="http://schemas.openxmlformats.org/spreadsheetml/2006/main">
  <authors>
    <author/>
  </authors>
  <commentList>
    <comment ref="K2" authorId="0" shapeId="0">
      <text>
        <r>
          <rPr>
            <sz val="11"/>
            <color indexed="8"/>
            <rFont val="Calibri"/>
            <family val="2"/>
            <scheme val="minor"/>
          </rPr>
          <t>сумма выполненных КЭС</t>
        </r>
      </text>
    </comment>
    <comment ref="L2" authorId="0" shapeId="0">
      <text>
        <r>
          <rPr>
            <sz val="11"/>
            <color indexed="8"/>
            <rFont val="Calibri"/>
            <family val="2"/>
            <scheme val="minor"/>
          </rPr>
          <t>сумма не выполненных КЭС</t>
        </r>
      </text>
    </comment>
    <comment ref="M2" authorId="0" shapeId="0">
      <text>
        <r>
          <rPr>
            <sz val="11"/>
            <color indexed="8"/>
            <rFont val="Calibri"/>
            <family val="2"/>
            <scheme val="minor"/>
          </rPr>
          <t>кол-во проверяемых КЭС</t>
        </r>
      </text>
    </comment>
    <comment ref="N2" authorId="0" shapeId="0">
      <text>
        <r>
          <rPr>
            <sz val="11"/>
            <color indexed="8"/>
            <rFont val="Calibri"/>
            <family val="2"/>
            <scheme val="minor"/>
          </rPr>
          <t>% знания КЭС учениками</t>
        </r>
      </text>
    </comment>
    <comment ref="O2" authorId="0" shapeId="0">
      <text>
        <r>
          <rPr>
            <sz val="11"/>
            <color indexed="8"/>
            <rFont val="Calibri"/>
            <family val="2"/>
            <scheme val="minor"/>
          </rPr>
          <t>численность учащихся, которым ставилась оценка</t>
        </r>
      </text>
    </comment>
    <comment ref="P2" authorId="0" shapeId="0">
      <text>
        <r>
          <rPr>
            <sz val="11"/>
            <color indexed="8"/>
            <rFont val="Calibri"/>
            <family val="2"/>
            <scheme val="minor"/>
          </rPr>
          <t>в том числе на 3, 4 и 5</t>
        </r>
      </text>
    </comment>
    <comment ref="Q2" authorId="0" shapeId="0">
      <text>
        <r>
          <rPr>
            <sz val="11"/>
            <color indexed="8"/>
            <rFont val="Calibri"/>
            <family val="2"/>
            <scheme val="minor"/>
          </rPr>
          <t>в том числе на 4 и 5</t>
        </r>
      </text>
    </comment>
    <comment ref="R2" authorId="0" shapeId="0">
      <text>
        <r>
          <rPr>
            <sz val="11"/>
            <color indexed="8"/>
            <rFont val="Calibri"/>
            <family val="2"/>
            <scheme val="minor"/>
          </rPr>
          <t>численность учащихся, выполнявших КР</t>
        </r>
      </text>
    </comment>
    <comment ref="S2" authorId="0" shapeId="0">
      <text>
        <r>
          <rPr>
            <sz val="11"/>
            <color indexed="8"/>
            <rFont val="Calibri"/>
            <family val="2"/>
            <scheme val="minor"/>
          </rPr>
          <t>средняя рекомендованная оценка</t>
        </r>
      </text>
    </comment>
    <comment ref="T2" authorId="0" shapeId="0">
      <text>
        <r>
          <rPr>
            <sz val="11"/>
            <color indexed="8"/>
            <rFont val="Calibri"/>
            <family val="2"/>
            <scheme val="minor"/>
          </rPr>
          <t>средняя оценка</t>
        </r>
      </text>
    </comment>
    <comment ref="U2" authorId="0" shapeId="0">
      <text>
        <r>
          <rPr>
            <sz val="11"/>
            <color indexed="8"/>
            <rFont val="Calibri"/>
            <family val="2"/>
            <scheme val="minor"/>
          </rPr>
          <t>оценочный показатель (ОЦ = Оценка средняя * 20 / Уч-ся КР, всего)</t>
        </r>
      </text>
    </comment>
    <comment ref="V2" authorId="0" shapeId="0">
      <text>
        <r>
          <rPr>
            <sz val="11"/>
            <color indexed="8"/>
            <rFont val="Calibri"/>
            <family val="2"/>
            <scheme val="minor"/>
          </rPr>
          <t>результативность выполненной работы (РЕЗ = % выполнения КЭС)</t>
        </r>
      </text>
    </comment>
    <comment ref="W2" authorId="0" shapeId="0">
      <text>
        <r>
          <rPr>
            <sz val="11"/>
            <color indexed="8"/>
            <rFont val="Calibri"/>
            <family val="2"/>
            <scheme val="minor"/>
          </rPr>
          <t>успеваемость (СО = (Уч-ся КР, всего - Уч-ся КР 2) / Уч-ся КР, всего)</t>
        </r>
      </text>
    </comment>
    <comment ref="X2" authorId="0" shapeId="0">
      <text>
        <r>
          <rPr>
            <sz val="11"/>
            <color indexed="8"/>
            <rFont val="Calibri"/>
            <family val="2"/>
            <scheme val="minor"/>
          </rPr>
          <t>уровень результативности (УР = РЕЗ / ИРО)</t>
        </r>
      </text>
    </comment>
    <comment ref="Y2" authorId="0" shapeId="0">
      <text>
        <r>
          <rPr>
            <sz val="11"/>
            <color indexed="8"/>
            <rFont val="Calibri"/>
            <family val="2"/>
            <scheme val="minor"/>
          </rPr>
          <t>качество образования (КО = Уч-ся КР 4-5 / Уч-ся КР, всего)</t>
        </r>
      </text>
    </comment>
    <comment ref="Z2" authorId="0" shapeId="0">
      <text>
        <r>
          <rPr>
            <sz val="11"/>
            <color indexed="8"/>
            <rFont val="Calibri"/>
            <family val="2"/>
            <scheme val="minor"/>
          </rPr>
          <t>показатель работы со слабыми учащимися ( НЕУСП = 1 - РЕЗ)</t>
        </r>
      </text>
    </comment>
    <comment ref="AA2" authorId="0" shapeId="0">
      <text>
        <r>
          <rPr>
            <sz val="11"/>
            <color indexed="8"/>
            <rFont val="Calibri"/>
            <family val="2"/>
            <scheme val="minor"/>
          </rPr>
          <t>численность учащихся, у которых установлен прогнозируемый индивидуальный балл</t>
        </r>
      </text>
    </comment>
    <comment ref="AB2" authorId="0" shapeId="0">
      <text>
        <r>
          <rPr>
            <sz val="11"/>
            <color indexed="8"/>
            <rFont val="Calibri"/>
            <family val="2"/>
            <scheme val="minor"/>
          </rPr>
          <t>численность учащихся, у которых установлен прогнозируемый индивидуальный балл 4 и 5</t>
        </r>
      </text>
    </comment>
    <comment ref="AC2" authorId="0" shapeId="0">
      <text>
        <r>
          <rPr>
            <sz val="11"/>
            <color indexed="8"/>
            <rFont val="Calibri"/>
            <family val="2"/>
            <scheme val="minor"/>
          </rPr>
          <t>средний прогнозируемый индивидуальный балл</t>
        </r>
      </text>
    </comment>
    <comment ref="AD2" authorId="0" shapeId="0">
      <text>
        <r>
          <rPr>
            <sz val="11"/>
            <color indexed="8"/>
            <rFont val="Calibri"/>
            <family val="2"/>
            <scheme val="minor"/>
          </rPr>
          <t>индекс успеваемости (ИСО = Уч-ся ПИБ 3-5 / Уч-ся ПИБ)</t>
        </r>
      </text>
    </comment>
    <comment ref="AE2" authorId="0" shapeId="0">
      <text>
        <r>
          <rPr>
            <sz val="11"/>
            <color indexed="8"/>
            <rFont val="Calibri"/>
            <family val="2"/>
            <scheme val="minor"/>
          </rPr>
          <t>индекс реальных учебных возможностей (ИРО = ПИБ средний / Уч-ся ПИБ)</t>
        </r>
      </text>
    </comment>
    <comment ref="AF2" authorId="0" shapeId="0">
      <text>
        <r>
          <rPr>
            <sz val="11"/>
            <color indexed="8"/>
            <rFont val="Calibri"/>
            <family val="2"/>
            <scheme val="minor"/>
          </rPr>
          <t>индекс полного усвоения программного материала или работы с сильными учащимися (ИКО = Уч-ся ПИБ 4-5 / Уч-ся ПИБ)</t>
        </r>
      </text>
    </comment>
    <comment ref="AG2" authorId="0" shapeId="0">
      <text>
        <r>
          <rPr>
            <sz val="11"/>
            <color indexed="8"/>
            <rFont val="Calibri"/>
            <family val="2"/>
            <scheme val="minor"/>
          </rPr>
          <t>индекс прогнозируемой неуспеваемости или работы со слабыми учащимися (ИНО = 1 - ИРО)</t>
        </r>
      </text>
    </comment>
    <comment ref="AH2" authorId="0" shapeId="0">
      <text>
        <r>
          <rPr>
            <sz val="11"/>
            <color indexed="8"/>
            <rFont val="Calibri"/>
            <family val="2"/>
            <scheme val="minor"/>
          </rPr>
          <t>Задания базового уровня выполнены на (Сумма % вып-я БУ / кол-во заданий БУ)</t>
        </r>
      </text>
    </comment>
    <comment ref="AI2" authorId="0" shapeId="0">
      <text>
        <r>
          <rPr>
            <sz val="11"/>
            <color indexed="8"/>
            <rFont val="Calibri"/>
            <family val="2"/>
            <scheme val="minor"/>
          </rPr>
          <t>Задания повышенного уровня выполнены на (Сумма % вып-я ПУ / кол-во заданий ПУ)</t>
        </r>
      </text>
    </comment>
    <comment ref="AJ2" authorId="0" shapeId="0">
      <text>
        <r>
          <rPr>
            <sz val="11"/>
            <color indexed="8"/>
            <rFont val="Calibri"/>
            <family val="2"/>
            <scheme val="minor"/>
          </rPr>
          <t>Оценки выставлены (объективно: ОЦ-РЕЗ от -10% до 10%)</t>
        </r>
      </text>
    </comment>
    <comment ref="AK2" authorId="0" shapeId="0">
      <text>
        <r>
          <rPr>
            <sz val="11"/>
            <color indexed="8"/>
            <rFont val="Calibri"/>
            <family val="2"/>
            <scheme val="minor"/>
          </rPr>
          <t>Результативность (низкая: РЕЗ &lt; 60%, низкая, высокая: РЕЗ &gt;= 70%)</t>
        </r>
      </text>
    </comment>
    <comment ref="AL2" authorId="0" shapeId="0">
      <text>
        <r>
          <rPr>
            <sz val="11"/>
            <color indexed="8"/>
            <rFont val="Calibri"/>
            <family val="2"/>
            <scheme val="minor"/>
          </rPr>
          <t>Успеваемость (низкая: ОЦ &lt; 50%, средняя, высокая: ОЦ &gt;= 70%)</t>
        </r>
      </text>
    </comment>
    <comment ref="AM2" authorId="0" shapeId="0">
      <text>
        <r>
          <rPr>
            <sz val="11"/>
            <color indexed="8"/>
            <rFont val="Calibri"/>
            <family val="2"/>
            <scheme val="minor"/>
          </rPr>
          <t>Уровень РЕЗ (сравнение с ИРО) (критический: РЕЗ-ИРО &lt; -10%, достаточный, отптимальный: РЕЗ-ИРО &gt;= -5%)</t>
        </r>
      </text>
    </comment>
    <comment ref="AN2" authorId="0" shapeId="0">
      <text>
        <r>
          <rPr>
            <sz val="11"/>
            <color indexed="8"/>
            <rFont val="Calibri"/>
            <family val="2"/>
            <scheme val="minor"/>
          </rPr>
          <t>Сильные учащиеся с работой (справились: КО-ИКО от -10% до 10%)</t>
        </r>
      </text>
    </comment>
    <comment ref="AO2" authorId="0" shapeId="0">
      <text>
        <r>
          <rPr>
            <sz val="11"/>
            <color indexed="8"/>
            <rFont val="Calibri"/>
            <family val="2"/>
            <scheme val="minor"/>
          </rPr>
          <t>Работа со слабыми учащимися проведена на уровне (не проведена: НЕУСП-ИНО &lt; 5%, проведена, на высоком уровне: НЕУСП-ИНО &gt;= 10%)</t>
        </r>
      </text>
    </comment>
    <comment ref="AP2" authorId="0" shapeId="0">
      <text>
        <r>
          <rPr>
            <sz val="11"/>
            <color indexed="8"/>
            <rFont val="Calibri"/>
            <family val="2"/>
            <scheme val="minor"/>
          </rPr>
          <t>Ожидаемые результаты (реализованы: УР-1 &gt; -10% )</t>
        </r>
      </text>
    </comment>
  </commentList>
</comments>
</file>

<file path=xl/sharedStrings.xml><?xml version="1.0" encoding="utf-8"?>
<sst xmlns="http://schemas.openxmlformats.org/spreadsheetml/2006/main" count="6405" uniqueCount="645">
  <si>
    <t>Реквизиты контрольных работ</t>
  </si>
  <si>
    <t>Статистика</t>
  </si>
  <si>
    <t>Прогноз</t>
  </si>
  <si>
    <t>Характеристики</t>
  </si>
  <si>
    <t>ссылка</t>
  </si>
  <si>
    <t>id</t>
  </si>
  <si>
    <t>номер</t>
  </si>
  <si>
    <t>тип</t>
  </si>
  <si>
    <t>предмет</t>
  </si>
  <si>
    <t>классы</t>
  </si>
  <si>
    <t>дата</t>
  </si>
  <si>
    <t>учитель</t>
  </si>
  <si>
    <t>состояние</t>
  </si>
  <si>
    <t>описание</t>
  </si>
  <si>
    <t>Выполнено, баллов</t>
  </si>
  <si>
    <t>Не выполнено, баллов</t>
  </si>
  <si>
    <t>Проверено, баллов</t>
  </si>
  <si>
    <t>% выполнения КЭС</t>
  </si>
  <si>
    <t>Уч-ся КР с оценкой</t>
  </si>
  <si>
    <t>Уч-ся КР с оценкой 3, 4, 5</t>
  </si>
  <si>
    <t>Уч-ся КР 4-5</t>
  </si>
  <si>
    <t>Уч-ся КР, всего</t>
  </si>
  <si>
    <t>Рек. оценка средн.</t>
  </si>
  <si>
    <t>Оценка средняя</t>
  </si>
  <si>
    <t>ОЦ</t>
  </si>
  <si>
    <t>РЕЗ</t>
  </si>
  <si>
    <t>СО</t>
  </si>
  <si>
    <t>УР</t>
  </si>
  <si>
    <t>КО</t>
  </si>
  <si>
    <t>НЕУСП</t>
  </si>
  <si>
    <t>Уч-ся ПИБ</t>
  </si>
  <si>
    <t>Уч-ся ПИБ 4-5</t>
  </si>
  <si>
    <t>ПИБ средний</t>
  </si>
  <si>
    <t>ИСО</t>
  </si>
  <si>
    <t>ИРО</t>
  </si>
  <si>
    <t>ИКО</t>
  </si>
  <si>
    <t>ИНО</t>
  </si>
  <si>
    <t>Вып. баз-й ур-нь</t>
  </si>
  <si>
    <t>Вып. пов-й ур-нь</t>
  </si>
  <si>
    <t>Оценки выставлены</t>
  </si>
  <si>
    <t>Результативность</t>
  </si>
  <si>
    <t>Успеваемость</t>
  </si>
  <si>
    <t>Уровень РЕЗ</t>
  </si>
  <si>
    <t>Сильные уч-ся</t>
  </si>
  <si>
    <t>Работа со слабыми</t>
  </si>
  <si>
    <t>Ожидаемые рез-ты</t>
  </si>
  <si>
    <t>1</t>
  </si>
  <si>
    <t>входная</t>
  </si>
  <si>
    <t>окружающий мир</t>
  </si>
  <si>
    <t>4Г</t>
  </si>
  <si>
    <t>Токарева Т. И.</t>
  </si>
  <si>
    <t>выполнение</t>
  </si>
  <si>
    <t/>
  </si>
  <si>
    <t>01</t>
  </si>
  <si>
    <t>русский язык</t>
  </si>
  <si>
    <t>11Б физ-мат</t>
  </si>
  <si>
    <t>Липатникова М. В.</t>
  </si>
  <si>
    <t>подписана</t>
  </si>
  <si>
    <t>Решение демоверсии теста ЕГЭ-2018</t>
  </si>
  <si>
    <t>6</t>
  </si>
  <si>
    <t>не объективно</t>
  </si>
  <si>
    <t>достаточная</t>
  </si>
  <si>
    <t>высокая</t>
  </si>
  <si>
    <t>оптимальный</t>
  </si>
  <si>
    <t>не справились</t>
  </si>
  <si>
    <t>проведена</t>
  </si>
  <si>
    <t>реализованы</t>
  </si>
  <si>
    <t>0</t>
  </si>
  <si>
    <t>математика</t>
  </si>
  <si>
    <t>7В физ-мат</t>
  </si>
  <si>
    <t>Шиховцова Г. А.</t>
  </si>
  <si>
    <t>Входная контрольная работа</t>
  </si>
  <si>
    <t>объективно</t>
  </si>
  <si>
    <t>критический</t>
  </si>
  <si>
    <t>не проведена</t>
  </si>
  <si>
    <t>не реализованы</t>
  </si>
  <si>
    <t>9В</t>
  </si>
  <si>
    <t>Решение демоверсии экзаменационной работы ОГЭ-2018</t>
  </si>
  <si>
    <t>13</t>
  </si>
  <si>
    <t>проведена на высоком уровне</t>
  </si>
  <si>
    <t>02</t>
  </si>
  <si>
    <t>текущая</t>
  </si>
  <si>
    <t>Сочинение-рассуждение на основе исходного текста</t>
  </si>
  <si>
    <t>2</t>
  </si>
  <si>
    <t>3</t>
  </si>
  <si>
    <t>5</t>
  </si>
  <si>
    <t>низкая</t>
  </si>
  <si>
    <t>биология</t>
  </si>
  <si>
    <t>Наймушина Д. К.</t>
  </si>
  <si>
    <t>8Г</t>
  </si>
  <si>
    <t>7Б</t>
  </si>
  <si>
    <t>4</t>
  </si>
  <si>
    <t>1.1</t>
  </si>
  <si>
    <t>10</t>
  </si>
  <si>
    <t>физика</t>
  </si>
  <si>
    <t>8А, 8Б, 8В, 8Г, 8Д</t>
  </si>
  <si>
    <t>Рыбинцева Н. В.</t>
  </si>
  <si>
    <t>справились</t>
  </si>
  <si>
    <t>английский язык</t>
  </si>
  <si>
    <t>8А</t>
  </si>
  <si>
    <t>Чижова О. Н.</t>
  </si>
  <si>
    <t>11</t>
  </si>
  <si>
    <t>8Б</t>
  </si>
  <si>
    <t>7</t>
  </si>
  <si>
    <t>достаточный</t>
  </si>
  <si>
    <t>8В</t>
  </si>
  <si>
    <t>9</t>
  </si>
  <si>
    <t>8Д</t>
  </si>
  <si>
    <t>10Б хим-био</t>
  </si>
  <si>
    <t>8</t>
  </si>
  <si>
    <t>10А соц-экон</t>
  </si>
  <si>
    <t>история</t>
  </si>
  <si>
    <t>11А</t>
  </si>
  <si>
    <t>Сафарова М. Л.</t>
  </si>
  <si>
    <t>Входной контроль по темам 2016-2017 учебного года</t>
  </si>
  <si>
    <t>9А</t>
  </si>
  <si>
    <t>11В хим-био</t>
  </si>
  <si>
    <t>Леонова С. П.</t>
  </si>
  <si>
    <t>5Б</t>
  </si>
  <si>
    <t>Шадрина В. А.</t>
  </si>
  <si>
    <t>Тестовая работа</t>
  </si>
  <si>
    <t>Обухова О. Н.</t>
  </si>
  <si>
    <t xml:space="preserve">тест </t>
  </si>
  <si>
    <t>6Д</t>
  </si>
  <si>
    <t>тест</t>
  </si>
  <si>
    <t>химия</t>
  </si>
  <si>
    <t>9А, 9Б, 9В</t>
  </si>
  <si>
    <t>Иванова В. А.</t>
  </si>
  <si>
    <t>Берладин Л. М.</t>
  </si>
  <si>
    <t>Демоверсия 2018</t>
  </si>
  <si>
    <t>7Г</t>
  </si>
  <si>
    <t>6В</t>
  </si>
  <si>
    <t>Диагностическая работа в форме теста</t>
  </si>
  <si>
    <t>Решение демоверсии тест</t>
  </si>
  <si>
    <t>00</t>
  </si>
  <si>
    <t>немецкий язык</t>
  </si>
  <si>
    <t>6Б</t>
  </si>
  <si>
    <t>Савельева Е. Н.</t>
  </si>
  <si>
    <t>6Г</t>
  </si>
  <si>
    <t>9Б</t>
  </si>
  <si>
    <t>экзаменационная</t>
  </si>
  <si>
    <t>обществознание</t>
  </si>
  <si>
    <t>Трубникова Н. А.</t>
  </si>
  <si>
    <t>география</t>
  </si>
  <si>
    <t>Махова О. В.</t>
  </si>
  <si>
    <t>входной контроль за 2016-2017 учебный год</t>
  </si>
  <si>
    <t>Панкова З. Н.</t>
  </si>
  <si>
    <t>5А</t>
  </si>
  <si>
    <t>Входной контроль в  форме теста</t>
  </si>
  <si>
    <t>7А</t>
  </si>
  <si>
    <t>входной контроль по результатам 2016-2017 учебного года</t>
  </si>
  <si>
    <t>входной контроль по итогам 2016-2017 учебного года</t>
  </si>
  <si>
    <t>Кулакова Е. Ю.</t>
  </si>
  <si>
    <t>Тест</t>
  </si>
  <si>
    <t>контрольная работа  за период 2016-2017 учебный год</t>
  </si>
  <si>
    <t xml:space="preserve">01 </t>
  </si>
  <si>
    <t>контрольная работа за период 2016-2017 учебного года</t>
  </si>
  <si>
    <t>информатика</t>
  </si>
  <si>
    <t>Кравец Е. Н.</t>
  </si>
  <si>
    <t>Входной контроль</t>
  </si>
  <si>
    <t>литература</t>
  </si>
  <si>
    <t>Сочинение на основе литературного текста</t>
  </si>
  <si>
    <t>10Б физ-мат</t>
  </si>
  <si>
    <t>Входная контрольная работа в форме ЕГЭ</t>
  </si>
  <si>
    <t>10Б физ-мат, 10Б хим-био</t>
  </si>
  <si>
    <t>Входной контроль в форме ЕГЭ</t>
  </si>
  <si>
    <t>8А, 8Г</t>
  </si>
  <si>
    <t xml:space="preserve">входной </t>
  </si>
  <si>
    <t>французский язык</t>
  </si>
  <si>
    <t>Монахова А. А.</t>
  </si>
  <si>
    <t xml:space="preserve">
</t>
  </si>
  <si>
    <t>входной</t>
  </si>
  <si>
    <t>5В</t>
  </si>
  <si>
    <t>Муниципальная стартовая диагностика по русскому языку для обучающихся 5-х классов</t>
  </si>
  <si>
    <t>Николаева А. А.</t>
  </si>
  <si>
    <t>6А</t>
  </si>
  <si>
    <t>10А соц-гум, 10А соц-экон</t>
  </si>
  <si>
    <t>Диктант с грамматическим заданием</t>
  </si>
  <si>
    <t xml:space="preserve">01. </t>
  </si>
  <si>
    <t>Галактионова А. Т.</t>
  </si>
  <si>
    <t>Входной контроль в виде теста по образцу ОГЭ.</t>
  </si>
  <si>
    <t>01.</t>
  </si>
  <si>
    <t>8В, 8Г, 8Д</t>
  </si>
  <si>
    <t>Тест на проверку остаточных данных в форме ОГЭ.</t>
  </si>
  <si>
    <t>Проверка остаточных лексико-грамматических навыков в форме теста.</t>
  </si>
  <si>
    <t>7А, 7В физ-мат, 7Г</t>
  </si>
  <si>
    <t>Проверка остаточных знаний за 6 класс в формате ОГЭ.</t>
  </si>
  <si>
    <t>Гилязетдинова Г. Х.</t>
  </si>
  <si>
    <t>контрольная работа по итогам 2016-2017 учебного года</t>
  </si>
  <si>
    <t xml:space="preserve">Муниципальная диагностическая работа </t>
  </si>
  <si>
    <t>Ивонина А. С.</t>
  </si>
  <si>
    <t>5Г</t>
  </si>
  <si>
    <t>Сочинение на основе литературного текста (А.Погорельский "Чёрная курица, или Подземные жители") "Чему научила меня история Алёши?"</t>
  </si>
  <si>
    <t>экология</t>
  </si>
  <si>
    <t>10А соц-гум, 10А соц-экон, 10Б физ-мат</t>
  </si>
  <si>
    <t>6А, 6В, 6Г, 6Д</t>
  </si>
  <si>
    <t>11А, 11Б физ-мат</t>
  </si>
  <si>
    <t>Линейное уравнение с одной переменной</t>
  </si>
  <si>
    <t>"Неравенства"</t>
  </si>
  <si>
    <t>6В, 6Г, 6Д</t>
  </si>
  <si>
    <t>6А, 6Г, 6Д</t>
  </si>
  <si>
    <t>Сочинение по произведениям Бунина, Куприна, Андреева</t>
  </si>
  <si>
    <t xml:space="preserve">02. </t>
  </si>
  <si>
    <t>Сочинение по "Слову о полку Игореве"</t>
  </si>
  <si>
    <t xml:space="preserve">03. </t>
  </si>
  <si>
    <t xml:space="preserve">Сжатое изложение текста </t>
  </si>
  <si>
    <t>6А, 6Б, 6В, 6Г, 6Д</t>
  </si>
  <si>
    <t>Решение теста</t>
  </si>
  <si>
    <t>Сочинение-рассуждение (задание 26 теста ЕГЭ)</t>
  </si>
  <si>
    <t>первая контрольная работа по основным, первоначальным сведениям о строении атомов и видах связи.</t>
  </si>
  <si>
    <t>Ефимова А. А.</t>
  </si>
  <si>
    <t>10А соц-гум</t>
  </si>
  <si>
    <t>Андрианова С. И.</t>
  </si>
  <si>
    <t>Россия на карте мира</t>
  </si>
  <si>
    <t>02.</t>
  </si>
  <si>
    <t>Природа Земли</t>
  </si>
  <si>
    <t>Контрольная работа по теме "Натуральные числа"</t>
  </si>
  <si>
    <t>Контрольная работа "Сложение и вычитание натуральных чисел. Числовые и буквенные выражения. Формулы"</t>
  </si>
  <si>
    <t>Натуральные числа</t>
  </si>
  <si>
    <t>"Сложение и вычитание натуральных чисел. Числовые и буквенные выражения. Формулы"</t>
  </si>
  <si>
    <t>Контрольная работа "Натуральные числа"</t>
  </si>
  <si>
    <t>Контрольная работа по теме "Обыкновенные дроби и проценты"</t>
  </si>
  <si>
    <t>Контрольная работа по теме"Десятичные дроби"</t>
  </si>
  <si>
    <t>Контрольная работа на тему "Десятичные дроби"</t>
  </si>
  <si>
    <t>Лугаманова Д. Ф.</t>
  </si>
  <si>
    <t>Квадратичная функция</t>
  </si>
  <si>
    <t>Тема "Углеводороды"</t>
  </si>
  <si>
    <t>"Углеводороды"</t>
  </si>
  <si>
    <t>административная</t>
  </si>
  <si>
    <t>Вайтман М. В.</t>
  </si>
  <si>
    <t>проверена</t>
  </si>
  <si>
    <t>Ходунова А. В.</t>
  </si>
  <si>
    <t>КР по теме "Клетки и ткани"</t>
  </si>
  <si>
    <t>8В, 8Д</t>
  </si>
  <si>
    <t>Контрольная работа №1 "Математические основы информатики"</t>
  </si>
  <si>
    <t>Введение в алгебру</t>
  </si>
  <si>
    <t>Строение клетки</t>
  </si>
  <si>
    <t>Политическая карта мира</t>
  </si>
  <si>
    <t>7А, 7Б, 7Г</t>
  </si>
  <si>
    <t>Движение, взаимодействие, масса</t>
  </si>
  <si>
    <t>Контрольная работа по итогам изучения темы "Металлы"</t>
  </si>
  <si>
    <t>Тема "Металлы"</t>
  </si>
  <si>
    <t>8А, 8Б, 8В, 8Г</t>
  </si>
  <si>
    <t>Дебирова Т. А.</t>
  </si>
  <si>
    <t>Математические основы информатики</t>
  </si>
  <si>
    <t>8А, 8Б, 8Г</t>
  </si>
  <si>
    <t>11Б физ-мат, 11В хим-био</t>
  </si>
  <si>
    <t>Пробный ОГЭ 1</t>
  </si>
  <si>
    <t>экзаменационная работа</t>
  </si>
  <si>
    <t>Пробный ЕГЭ</t>
  </si>
  <si>
    <t>КИМ ЕГЭ 2017</t>
  </si>
  <si>
    <t>001</t>
  </si>
  <si>
    <t>экзаменационная работа за курс органической и неорганической химии</t>
  </si>
  <si>
    <t>Пробный экзамен</t>
  </si>
  <si>
    <t>9Б, 9В</t>
  </si>
  <si>
    <t>Письменный экзамен в форме ОГЭ. Общее количество заданий – 35. Работа состоит из двух частей.  Часть 1 содержит 30 заданий с кратким ответом в виде одной цифры, соответствующей номеру правильного ответа, последовательности цифр или слова (словосочетания). Часть 2 содержит 5 заданий с развернутым ответом. Проверка выполнения заданий этой части проводится  на основе специально разработанных критериев</t>
  </si>
  <si>
    <t>Экзаменационная работа в формате ЕГЭ</t>
  </si>
  <si>
    <t>03</t>
  </si>
  <si>
    <t>Контрольная работа в формате ЕГЭ</t>
  </si>
  <si>
    <t>07</t>
  </si>
  <si>
    <t>11А, 11В хим-био</t>
  </si>
  <si>
    <t xml:space="preserve">Репетиционный экзамен в формате ЕГЭ. </t>
  </si>
  <si>
    <t>репетиционная экзаменационная работа по географии в форме егэ</t>
  </si>
  <si>
    <t>Пробный ОГЭ</t>
  </si>
  <si>
    <t>ОГЭ</t>
  </si>
  <si>
    <t>пробный экзамен по биологии в форме ОГЭ</t>
  </si>
  <si>
    <t>01 АКР Биология</t>
  </si>
  <si>
    <t>5А, 5Б</t>
  </si>
  <si>
    <t>Репетиционный экзамен в формате ОГЭ</t>
  </si>
  <si>
    <t>Савельева И. В.</t>
  </si>
  <si>
    <t>11А, 11Б физ-мат, 11В хим-био</t>
  </si>
  <si>
    <t>Иванова Л. А.</t>
  </si>
  <si>
    <t>Скуратова Ю. Р.</t>
  </si>
  <si>
    <t>Россия при Екатерине II</t>
  </si>
  <si>
    <t>388 экз 11А</t>
  </si>
  <si>
    <t>Филиппов Д. С.</t>
  </si>
  <si>
    <t>тема "Углеводороды"</t>
  </si>
  <si>
    <t>Леханова Г. Н.</t>
  </si>
  <si>
    <t xml:space="preserve"> Владение основным понятийным аппаратом школьного курса физики
 Знание и понимание смысла понятий: физическое явление, физический закон, вещество, взаимодействие, электрическое поле, магнитное поле, волна, атом, атомное ядро, ионизирующие излучения
 Знание и понимание смысла физических величин: путь, скорость, ускорение, масса, плотность, сила, давление, импульс, работа, мощность, кинетическая энергия, потенциальная энергия, коэффициент полезного действия, внутренняя энергия, температура, количество теплоты, удельная теплоемкость, удельная теплота плавления, удельная теплота сгорания топлива, влажность воздуха, электрический заряд, сила электрического тока, электрическое напряжение, электрическое сопротивление, работа и мощность электрического тока, фокусное расстояние линзы</t>
  </si>
  <si>
    <t>5А, 5Б, 5Г</t>
  </si>
  <si>
    <t>Административная контрольная работа по математике для учащихся 5 классов</t>
  </si>
  <si>
    <t xml:space="preserve">Уравнения. Системы уравнений. </t>
  </si>
  <si>
    <t>Формулы сокращенного умножения</t>
  </si>
  <si>
    <t>Беляева М. М.</t>
  </si>
  <si>
    <t>5А, 5Б, 5В, 5Г</t>
  </si>
  <si>
    <t>Административная контрольная работа по теме "Древний Восток" составлена по образцу всероссийской проверочной работы, критерии оценивания работы не совпадают с параметрами оценки системы АИС ВЕСНА</t>
  </si>
  <si>
    <t>5А, 5Б, 5В</t>
  </si>
  <si>
    <t>Административная работа в рамках КОК по итогам первого полугодия</t>
  </si>
  <si>
    <t>04</t>
  </si>
  <si>
    <t>основные события Великой Отечественной войны</t>
  </si>
  <si>
    <t>текущая работа по теме : "Право в системе социальных норм"</t>
  </si>
  <si>
    <t>№1</t>
  </si>
  <si>
    <t>литературное чтение</t>
  </si>
  <si>
    <t>4А, 4Б, 4В, 4Г, 4Д, 4Е</t>
  </si>
  <si>
    <t>Цедик Л. А.</t>
  </si>
  <si>
    <t>Диагностика читательской грамотности. Задания по художественному и информационному текстам</t>
  </si>
  <si>
    <t>Административная контрольная работа состоит из двух частей (тестовые задания и работа с текстом)</t>
  </si>
  <si>
    <t>7В физ-мат, 7Г</t>
  </si>
  <si>
    <t>Административная контрольная работа</t>
  </si>
  <si>
    <t>Новикова Ю. Е.</t>
  </si>
  <si>
    <t>Классно-обобщающий контроль в 7 Б классе</t>
  </si>
  <si>
    <t>Дядина О. Ю.</t>
  </si>
  <si>
    <t>Административная контрольная работа по английскому языку</t>
  </si>
  <si>
    <t>Типы химических реакций</t>
  </si>
  <si>
    <t>Тема. " Южные материки"</t>
  </si>
  <si>
    <t>Тема " Южные материки"</t>
  </si>
  <si>
    <t>Тема "Южные материки"</t>
  </si>
  <si>
    <t>тема " Научно-техническая революция и Мировое хозяйство"</t>
  </si>
  <si>
    <t>Кислородсодержащие вещества</t>
  </si>
  <si>
    <t>ИКР</t>
  </si>
  <si>
    <t>итоговая</t>
  </si>
  <si>
    <t>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русскому языку для 9-х классов.</t>
  </si>
  <si>
    <t>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русскому языку для 8-х классов.</t>
  </si>
  <si>
    <t>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русскому языку для 11-х классов.</t>
  </si>
  <si>
    <t>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литературе для 9-х классов.</t>
  </si>
  <si>
    <t>Устное собеседование</t>
  </si>
  <si>
    <t>Устное собеседование по русскому языку</t>
  </si>
  <si>
    <t>Сочинение</t>
  </si>
  <si>
    <t>Сочинение на основе исходного текста (задание 15.2, 15.3 ОГЭ)</t>
  </si>
  <si>
    <t>Тест №5</t>
  </si>
  <si>
    <t>Тематический контроль по теме "Обособленные члены предложения"</t>
  </si>
  <si>
    <t>Контрольная работа по теме "Числительное"</t>
  </si>
  <si>
    <t>Итоговая контрольная работа</t>
  </si>
  <si>
    <t>Контрольная работа по теме "Однородные члены предложения"</t>
  </si>
  <si>
    <t>Однородные члены предложения</t>
  </si>
  <si>
    <t>6Г, 6Д</t>
  </si>
  <si>
    <t>Итоговая контрольная работа по курсу математики 6 класса (УМК А.Г. Мерзляк)</t>
  </si>
  <si>
    <t>6А, 6Б, 6В</t>
  </si>
  <si>
    <t>Итоговая контрольная работа по курсу математики 6 класс</t>
  </si>
  <si>
    <t xml:space="preserve">Итоговая контрольная работа </t>
  </si>
  <si>
    <t>463 итог</t>
  </si>
  <si>
    <t>Контрольная работа №3</t>
  </si>
  <si>
    <t>Контрольная работа №3 по теме "Самостоятельные части речи": определение уровня усвоения учащимися контрольных элементов содержания и сформированности учебных действий, предусмотренных программой по русскому языку для 10-х классов по темам "Имя существительное", "Имя прилагательное", "Имя числительное".</t>
  </si>
  <si>
    <t>Контрольная работа №2</t>
  </si>
  <si>
    <t>Контрольная работа №2 по теме "Морфемика и орфография":  определение уровня усвоения учащимися контрольных элементов содержания и сформированности учебных действий, предусмотренных программой по русскому языку для 10-х классов по теме "Морфемика и орфография"</t>
  </si>
  <si>
    <t>7А, 7Б, 7В физ-мат, 7Г</t>
  </si>
  <si>
    <t>10А соц-экон, 10Б физ-мат, 10Б хим-био</t>
  </si>
  <si>
    <t>Итоговая контрольная работа в форме ЕГЭ</t>
  </si>
  <si>
    <t>Итоговая контрольная работа в формате ЕГЭ</t>
  </si>
  <si>
    <t>6А, 6Б, 6В, 6Г</t>
  </si>
  <si>
    <t>Итоговая контрольная работа по биологии за курс 6 класса</t>
  </si>
  <si>
    <t>Итоговая контрольная работа по биологии в 5 классах</t>
  </si>
  <si>
    <t>Контрольная работа по теме "Подлежащее и сказуемое"</t>
  </si>
  <si>
    <t>Контрольная работа №3 по теме "Члены предложения"</t>
  </si>
  <si>
    <t>Итоговая контрольная работа по биологии 7 класс</t>
  </si>
  <si>
    <t>483 итог 5Г, 5В</t>
  </si>
  <si>
    <t>5В, 5Г</t>
  </si>
  <si>
    <t>Итоговая контрольная работа по биологии в 9 классах</t>
  </si>
  <si>
    <t>Диктант №5</t>
  </si>
  <si>
    <t>Кр по итогам учебного года</t>
  </si>
  <si>
    <t>Итоговая контрольная работа по географии для 7 классов</t>
  </si>
  <si>
    <t>Итоговая контрольная работа р географии для 8 классов</t>
  </si>
  <si>
    <t>Итоговая контрольная работа в 8 классах</t>
  </si>
  <si>
    <t>Итоговая контрольная работа по биологии в профильном хим/био классе</t>
  </si>
  <si>
    <t>05</t>
  </si>
  <si>
    <t>Подведение итогов учебного года</t>
  </si>
  <si>
    <t>Итоговая контрольная работа по географии для 10 класса</t>
  </si>
  <si>
    <t>494 итог 8В</t>
  </si>
  <si>
    <t>495 итог 8Г</t>
  </si>
  <si>
    <t>496 итог 8Д</t>
  </si>
  <si>
    <t>498 итог 10А соц-гум, 10А соц-экон</t>
  </si>
  <si>
    <t>ИТоговая контрольная работа по биологии за курс 10 класса</t>
  </si>
  <si>
    <t>501 итог 10Б физ-мат</t>
  </si>
  <si>
    <t>503 итог 10Б хим-био</t>
  </si>
  <si>
    <t>504 итог 9А, 9Б</t>
  </si>
  <si>
    <t>9А, 9Б</t>
  </si>
  <si>
    <t>505 итог 9В</t>
  </si>
  <si>
    <t>506 итог 11А</t>
  </si>
  <si>
    <t>508 итог 11Б физ-мат</t>
  </si>
  <si>
    <t>510 итог 11А, 11В хим-био</t>
  </si>
  <si>
    <t>511 итог 9А</t>
  </si>
  <si>
    <t>Изложение</t>
  </si>
  <si>
    <t xml:space="preserve">Сжатое изложение текста 
скопирована из ид: 239 № 03. </t>
  </si>
  <si>
    <t>Итоговая контрольная работа за курс 11 класса по биологии</t>
  </si>
  <si>
    <t>Контрольная работа №5</t>
  </si>
  <si>
    <t>Контрольная работа №5 по теме "Обособленные члены предложения":определение уровня усвоения учащимися контрольных элементов содержания и сформированности учебных действий, предусмотренных программой по русскому языку для 8-х классов по теме "Обособленные члены предложения"</t>
  </si>
  <si>
    <t>517 итог 9А, 9Б, 9В</t>
  </si>
  <si>
    <t>518 итог 7А, 7Б, 7В физ-мат, 7Г</t>
  </si>
  <si>
    <t>520 итог 8А, 8Б, 8Г, 8Д</t>
  </si>
  <si>
    <t>8А, 8Б, 8Г, 8Д</t>
  </si>
  <si>
    <t>521 итог 8В</t>
  </si>
  <si>
    <t>522 итог 11А</t>
  </si>
  <si>
    <t>523 итог 11Б физ-мат</t>
  </si>
  <si>
    <t>524 итог 9А, 9Б, 9В</t>
  </si>
  <si>
    <t>525 итог 5Б</t>
  </si>
  <si>
    <t>526 итог 10А соц-гум, 10А соц-экон, 10Б физ-мат</t>
  </si>
  <si>
    <t>10А соц-гум, 10А соц-экон, 10Б хим-био</t>
  </si>
  <si>
    <t>527 итог 10Б физ-мат</t>
  </si>
  <si>
    <t>528 итог 11В хим-био</t>
  </si>
  <si>
    <t xml:space="preserve">
</t>
  </si>
  <si>
    <t xml:space="preserve">Итоговая контрольная работа состоит из 20 заданий, 16 из которых базового уровня сложности, 4 – повышенного. </t>
  </si>
  <si>
    <t xml:space="preserve">Итоговая контрольная работа состоит из 11 заданий,  7 из которых базового уровня сложности,  3 – повышенного,  1 - высокого. 
</t>
  </si>
  <si>
    <t>01.Установить соответствие между фамилиями писателей и названиями произведений, изученных в 7 классе, и именами их героев
02.Соотнести роды и жанры литературы
03.Назвать произведение, из которого взяты  строки
04.Характеризовать героя произведения на основе приведённого фрагмента
05.Указать ИВС,  используемые автором отрывка (1в.); соотнести героя с характеристикой (2в.)
06.Отметить понимание образной природы предлагаемого отрывка произведения; знание сюжета 
07.Анализировать художественный текст, характеризовать героев произведения, выявлять авторский замысел
08.Анализировать художественный текст,  строить письменные высказывания
09.Соотнести персонажей с их репликами (1в.); выписать героев произведения на основе заданных особенностей характера (2в.)
10.Анализировать художественный текст, выявлять проблематику, характеризовать героев на основе их действий
11.Сопоставить эпизоды литературных произведений и сравнить их героев</t>
  </si>
  <si>
    <t>Итоговая контрольная работа 11в</t>
  </si>
  <si>
    <t xml:space="preserve">Итоговая контрольная работа состоит из 20 заданий, 18 из которых  базового уровня сложности, 2 – повышенного. 
Типы заданий: с кратким ответом – 15, с выбором ответа – 4, с развёрнутым ответом – 1.
Содержание заданий соответствует  основным требованиям примерной программы по русскому языку для основного общего образования. </t>
  </si>
  <si>
    <t>10А соц-гум, 10А соц-экон, 10Б физ-мат, 10Б хим-био</t>
  </si>
  <si>
    <t>Итоговая контрольная работа проводится с целью определения уровня подготовки  учащихся к итоговому (допускному) сочинению в 11 классе; уровня изученных литературных произведений, предусмотренных программой по литературе для учащихся средней школы.</t>
  </si>
  <si>
    <t>552 итог 5А, 5В, 5Г</t>
  </si>
  <si>
    <t>5А, 5В, 5Г</t>
  </si>
  <si>
    <t>555 итог 6А, 6Б, 6В, 6Г, 6Д</t>
  </si>
  <si>
    <t>556 итог 8А, 8Б, 8В, 8Г, 8Д</t>
  </si>
  <si>
    <t>557 итог 9А, 9Б</t>
  </si>
  <si>
    <t>560 итог 5А, 5Б, 5В, 5Г</t>
  </si>
  <si>
    <t>Ремизова Е. А.</t>
  </si>
  <si>
    <t>метапредметная</t>
  </si>
  <si>
    <t>метапредмет</t>
  </si>
  <si>
    <t xml:space="preserve">Тест </t>
  </si>
  <si>
    <t>Прямая и косвенная речь. Цитирование</t>
  </si>
  <si>
    <t>565 итог 7Б</t>
  </si>
  <si>
    <t>Тематический тест</t>
  </si>
  <si>
    <t xml:space="preserve">Прямая и косвенная речь. Цитирование
</t>
  </si>
  <si>
    <t>567 итог 5Б</t>
  </si>
  <si>
    <t>Лисуненко О. П.</t>
  </si>
  <si>
    <t>Итоговая контрольная работа за курс 5 класса</t>
  </si>
  <si>
    <t>568 итог 6А, 6Б, 6В, 6Г, 6Д</t>
  </si>
  <si>
    <t>Итоговая контрольная работа для 6 класса</t>
  </si>
  <si>
    <t>569 итог 7А, 7Б, 7В физ-мат, 7Г</t>
  </si>
  <si>
    <t>Итоговая контрольная работа  за курс 7 класса</t>
  </si>
  <si>
    <t>574 итог 5А</t>
  </si>
  <si>
    <t xml:space="preserve">Итоговая контрольная работа за курс 5 класса
</t>
  </si>
  <si>
    <t xml:space="preserve">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французскому языку для 7-х классов. Итоговая контрольная работа состоит из 7 заданий, 5 из которых базового уровня слож-ности, 2 – повышенного. 
Типы заданий: с выбором ответа – 5, с развёрнутым ответом – 2.
Содержание заданий соответствует основным требованиям примерной программы по французскому языку для основного общего образования. Для разработки заданий исполь-зован Кодификатор элементов содержания и требований к уровню подготовки учащихся, освоивших основные общеобразовательные программы основного общего образования, по французскому языку, в который включены планируемые образовательные результаты, которые относятся в блоку «Ученик научится».
</t>
  </si>
  <si>
    <t xml:space="preserve">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французскому языку для 8-х классов. Итоговая контрольная работа состоит из 8 заданий, 6 из которых базового уровня сложности, 2 – повышенного.
Типы заданий: с выбором ответа – 7, с развёрнутым ответом – 1.
Содержание заданий соответствует основным требованиям примерной программы по французскому языку для основного общего образования. Для разработки заданий использован Кодификатор элементов содержания и требований к уровню подготовки учащихся, освоивших основные общеобразовательные программы основного общего образования, по французскому языку, в который включены планируемые образовательные результаты, которые относятся в блоку «Ученик научится».
</t>
  </si>
  <si>
    <t xml:space="preserve">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французскому языку для 9-х классов. Итоговая контрольная работа состоит из 4 разделов: 6 заданий, 4 из которых базового уровня сложности, 2 – повышенного.
Типы заданий: с выбором ответа – 5, с развёрнутым ответом – 1.
Содержание заданий соответствует основным требованиям примерной программы по французскому языку для основного общего образования. Для разработки заданий исполь-зован Кодификатор элементов содержания и требований к уровню подготовки учащихся, освоивших основные общеобразовательные программы основного общего образования, по французскому языку, в который включены планируемые образовательные результаты, которые относятся в блоку «Ученик научится».
</t>
  </si>
  <si>
    <t>578 итог 9А, 9Б, 9В</t>
  </si>
  <si>
    <t>579 итог 5А, 5Б, 5В, 5Г</t>
  </si>
  <si>
    <t>Итоговая контрольная работа по истории Древнего мира</t>
  </si>
  <si>
    <t>581 итог 11Б физ-мат, 11В хим-био</t>
  </si>
  <si>
    <t>Итоговая контрольная работа по курсу "Россия и мир" в 11-х классах  (базовый уровень)</t>
  </si>
  <si>
    <t>582 итог 10А соц-гум</t>
  </si>
  <si>
    <t>583 итог 8А, 8Б, 8В, 8Г, 8Д</t>
  </si>
  <si>
    <t>Итоговая контрольная работа по истории: 14.05.2018 - 8а, 18.05.2018 - 8бвг, 21.05.2018 - 8д</t>
  </si>
  <si>
    <t>Итоговая контрольная работа по обществознанию в 8-х классах</t>
  </si>
  <si>
    <t>586 итог 7А</t>
  </si>
  <si>
    <t>590 итог 11А, 11Б физ-мат, 11В хим-био</t>
  </si>
  <si>
    <t>591 итог 4Г, 4Д</t>
  </si>
  <si>
    <t>особенная</t>
  </si>
  <si>
    <t>4Г, 4Д</t>
  </si>
  <si>
    <t>Всероссийская проверочная работа по окружающему мсиру</t>
  </si>
  <si>
    <t>592 итог 11А</t>
  </si>
  <si>
    <t>598 итог 8Б</t>
  </si>
  <si>
    <t>Карпухина Л. А.</t>
  </si>
  <si>
    <t>602 итог 8В, 8Г</t>
  </si>
  <si>
    <t>8В, 8Г</t>
  </si>
  <si>
    <t>скопирована из ид: 598 № 598 итог 8Б</t>
  </si>
  <si>
    <t>603 итог 7А, 7В физ-мат, 7Г</t>
  </si>
  <si>
    <t>Итоговая контрольная работа по истории для учащихся базовой группы 10 классов</t>
  </si>
  <si>
    <t>607 особ 3А, 3В, 3Г, 3Д</t>
  </si>
  <si>
    <t>3А, 3В, 3Г, 3Д</t>
  </si>
  <si>
    <t>Региональная диагностическая работа</t>
  </si>
  <si>
    <t>Комплексная метапредметная работа</t>
  </si>
  <si>
    <t>Итоговая контрольная работа для профильной группы 11 класса</t>
  </si>
  <si>
    <t>613 итог 6А, 6Б, 6В, 6Г, 6Д</t>
  </si>
  <si>
    <t>614 итог 7А, 7Б, 7В физ-мат, 7Г</t>
  </si>
  <si>
    <t>3Б</t>
  </si>
  <si>
    <t>Загайская Е. Д.</t>
  </si>
  <si>
    <t>617 итог 10Б физ-мат, 10Б хим-био</t>
  </si>
  <si>
    <t>итоговая контрольная работа для базового уровня 10 класс</t>
  </si>
  <si>
    <t>618 адм 3А, 3Б</t>
  </si>
  <si>
    <t>3А, 3Б</t>
  </si>
  <si>
    <t>Цыбульник О. В.</t>
  </si>
  <si>
    <t>Региональная диагностическая работа
скопирована из ид: 616 № 10</t>
  </si>
  <si>
    <t>619 адм 3А</t>
  </si>
  <si>
    <t>3А</t>
  </si>
  <si>
    <t>Региональная диагностическая работа
скопирована из ид: 616 № 10
скопирована из ид: 618 № 618 адм 3А, 3Б</t>
  </si>
  <si>
    <t>620 особ 3А, 3Б, 3В, 3Г, 3Д</t>
  </si>
  <si>
    <t>3А, 3В, 3Д</t>
  </si>
  <si>
    <t>623 итог 7А, 7Б, 7В физ-мат, 7Г</t>
  </si>
  <si>
    <t>скопирована из ид: 614 № 614 итог 7А, 7Б, 7В физ-мат, 7Г</t>
  </si>
  <si>
    <t>Итоговая</t>
  </si>
  <si>
    <t>631 итог 8Д</t>
  </si>
  <si>
    <t>Итоговая контрольная работа
скопирована из ид: 626 № Итоговая АЛГЕБРА</t>
  </si>
  <si>
    <t>632 итог 8Б, 8В, 8Г, 8Д</t>
  </si>
  <si>
    <t>скопирована из ид: 598 № 598 итог 8Б
скопирована из ид: 602 № 602 итог 8В, 8Г</t>
  </si>
  <si>
    <t xml:space="preserve">Тест ЕГЭ </t>
  </si>
  <si>
    <t xml:space="preserve">Решение демоверсии теста ЕГЭ-2018
</t>
  </si>
  <si>
    <t>635 итог 11А</t>
  </si>
  <si>
    <t>скопирована из ид: 594 № 594 итог 11А</t>
  </si>
  <si>
    <t>636 итог 11В хим-био</t>
  </si>
  <si>
    <t>скопирована из ид: 594 № 594 итог 11А
скопирована из ид: 635 № 635 итог 11А</t>
  </si>
  <si>
    <t>639 особ 4Б, 4В</t>
  </si>
  <si>
    <t>4Б, 4В</t>
  </si>
  <si>
    <t>Всероссийская проверочная работа</t>
  </si>
  <si>
    <t>643 итог 4Б, 4В</t>
  </si>
  <si>
    <t>Административная итоговая контрольная работа</t>
  </si>
  <si>
    <t>644 итог 4А, 4Г</t>
  </si>
  <si>
    <t>4А, 4Г</t>
  </si>
  <si>
    <t>Грунина Э. Ю.</t>
  </si>
  <si>
    <t xml:space="preserve">Административная итоговая контрольная работа
</t>
  </si>
  <si>
    <t>645 особ 4А, 4Г</t>
  </si>
  <si>
    <t xml:space="preserve">Всероссийская проверочная работа
</t>
  </si>
  <si>
    <t>639 особ 4Д, 4Е</t>
  </si>
  <si>
    <t>4Д, 4Е</t>
  </si>
  <si>
    <t>Кудинова О. В.</t>
  </si>
  <si>
    <t>Всероссийская проверочная работа
скопирована из ид: 639 № 639 особ 4Б, 4В</t>
  </si>
  <si>
    <t>643 итог 4Д, 4Е</t>
  </si>
  <si>
    <t>Административная итоговая контрольная работа
скопирована из ид: 643 № 643 итог 4Б, 4В</t>
  </si>
  <si>
    <t>648 итог 2В</t>
  </si>
  <si>
    <t>2В</t>
  </si>
  <si>
    <t>Коренюгина Л. В.</t>
  </si>
  <si>
    <t>649 итог 3Б</t>
  </si>
  <si>
    <t>653 итог 2А, 2Б</t>
  </si>
  <si>
    <t>2А, 2Б</t>
  </si>
  <si>
    <t>Административная конрольная работа</t>
  </si>
  <si>
    <t>648 итог 2Д,2Е</t>
  </si>
  <si>
    <t>2Д, 2Е</t>
  </si>
  <si>
    <t>скопирована из ид: 648 № 648 итог 3Д</t>
  </si>
  <si>
    <t>Контрольная работа по теме "Неметаллы"</t>
  </si>
  <si>
    <t>657 итог 10А соц-экон, 10Б хим-био</t>
  </si>
  <si>
    <t>10А соц-экон, 10Б хим-био</t>
  </si>
  <si>
    <t>скопирована из ид: 516 № 05</t>
  </si>
  <si>
    <t>658 итог 10А соц-экон, 10Б хим-био</t>
  </si>
  <si>
    <t>скопирована из ид: 516 № 05
скопирована из ид: 657 № 657 итог 10А соц-экон, 10Б хим-био</t>
  </si>
  <si>
    <t>659 особ 3Б, 3Г</t>
  </si>
  <si>
    <t>3Б, 3Г</t>
  </si>
  <si>
    <t>Величко О. П.</t>
  </si>
  <si>
    <t>Региональная диагностическая работа
скопирована из ид: 620 № 620 особ 3А, 3Б, 3В, 3Г, 3Д</t>
  </si>
  <si>
    <t>Редько А. В.</t>
  </si>
  <si>
    <t>662 адм 3А, 3Б</t>
  </si>
  <si>
    <t>Чернакова М. П.</t>
  </si>
  <si>
    <t>663 адм 4А, 4Б, 4В, 4Е</t>
  </si>
  <si>
    <t>4А, 4Б, 4В, 4Е</t>
  </si>
  <si>
    <t>4Б, 4Г</t>
  </si>
  <si>
    <t>Кисеева А. Н.</t>
  </si>
  <si>
    <t>666 итог 8А, 8Д</t>
  </si>
  <si>
    <t>8А, 8Д</t>
  </si>
  <si>
    <t>4Д</t>
  </si>
  <si>
    <t>3В, 3Д</t>
  </si>
  <si>
    <t>2В, 2Г, 2Д</t>
  </si>
  <si>
    <t>Каменская И. В.</t>
  </si>
  <si>
    <t>4А</t>
  </si>
  <si>
    <t>Попова А. В.</t>
  </si>
  <si>
    <t>676 итог</t>
  </si>
  <si>
    <t>678 адм 3Г</t>
  </si>
  <si>
    <t>3Г</t>
  </si>
  <si>
    <t>Богданова К. А.</t>
  </si>
  <si>
    <t>681 итог 5Б</t>
  </si>
  <si>
    <t>Итог 5 Б</t>
  </si>
  <si>
    <t>скопирована из ид: 678 № 678 адм 3Г</t>
  </si>
  <si>
    <t>4Е</t>
  </si>
  <si>
    <t>3Д</t>
  </si>
  <si>
    <t>Эсенбаева К. А.</t>
  </si>
  <si>
    <t>686 адм 4В</t>
  </si>
  <si>
    <t>4В</t>
  </si>
  <si>
    <t>687 итог 3А, 3В, 3Г</t>
  </si>
  <si>
    <t>3А, 3В, 3Г</t>
  </si>
  <si>
    <t>689 адм 2В, 2Г, 2Д</t>
  </si>
  <si>
    <t>скопирована из ид: 673 № 1</t>
  </si>
  <si>
    <t>690 адм 2Е</t>
  </si>
  <si>
    <t>2Е</t>
  </si>
  <si>
    <t>Козлова И. И.</t>
  </si>
  <si>
    <t xml:space="preserve">691 адм 2Б,  </t>
  </si>
  <si>
    <t>2Б</t>
  </si>
  <si>
    <t>Орос Л. И.</t>
  </si>
  <si>
    <t>Гостева И. И.</t>
  </si>
  <si>
    <t>Административная контрольная работа за курс начального общего образования</t>
  </si>
  <si>
    <t>4Б, 4В, 4Е</t>
  </si>
  <si>
    <t>Масликова О. С.</t>
  </si>
  <si>
    <t>699 адм 4В</t>
  </si>
  <si>
    <t>Административная контрольная работа за курс начального общего образования
скопирована из ид: 695 № 9</t>
  </si>
  <si>
    <t>649 итог ЗВ, ЗГ, ЗД</t>
  </si>
  <si>
    <t>3В, 3Г, 3Д</t>
  </si>
  <si>
    <t>Асланова А. Т.</t>
  </si>
  <si>
    <t>701 адм 4А, 4Б, 4В, 4Г, 4Д, 4Е</t>
  </si>
  <si>
    <t>702 итог 5Б</t>
  </si>
  <si>
    <t xml:space="preserve">Итог 5 Б
</t>
  </si>
  <si>
    <t>703 итог 7Б</t>
  </si>
  <si>
    <t>Итоговая контрольная работа за год</t>
  </si>
  <si>
    <t>705 итог 3А, 3Д</t>
  </si>
  <si>
    <t>3А, 3Д</t>
  </si>
  <si>
    <t>Итоговая контрольная работа за год
скопирована из ид: 704 № 9</t>
  </si>
  <si>
    <t>706 особ 3Б</t>
  </si>
  <si>
    <t>Региональная диагностическая работа
скопирована из ид: 607 № 607 особ 3Б</t>
  </si>
  <si>
    <t>глава "Хобби"</t>
  </si>
  <si>
    <t>710 итог 3Б</t>
  </si>
  <si>
    <t>713 адм 2А</t>
  </si>
  <si>
    <t>2А</t>
  </si>
  <si>
    <t>Басманова Е. Г.</t>
  </si>
  <si>
    <t xml:space="preserve">скопирована из ид: 673 № 1
скопирована из ид: 691 № 691 адм 2Б,  </t>
  </si>
  <si>
    <t>714 адм 3В</t>
  </si>
  <si>
    <t>3В</t>
  </si>
  <si>
    <t xml:space="preserve">Экзамен </t>
  </si>
  <si>
    <t>ЕГЭ по русскому языку</t>
  </si>
  <si>
    <t>Экзамен</t>
  </si>
  <si>
    <t>ОГЭ по русскому языку</t>
  </si>
  <si>
    <t xml:space="preserve">экзаменационная </t>
  </si>
  <si>
    <t>721 экз 9А, 9Б, 9В</t>
  </si>
  <si>
    <t>скопирована из ид: 718 № 10</t>
  </si>
  <si>
    <t>723 экз 9А, 9Б, 9В</t>
  </si>
  <si>
    <t>724 экз 9А, 9Б, 9В</t>
  </si>
  <si>
    <t xml:space="preserve">ОГЭ по биологии </t>
  </si>
  <si>
    <t>725 экз 9А, 9Б, 9В</t>
  </si>
  <si>
    <t>Государственная итоговая аттестация</t>
  </si>
  <si>
    <t>ОГЭ по информатике</t>
  </si>
  <si>
    <t>ЕГЭ по информатике</t>
  </si>
  <si>
    <t>729 экз 11А</t>
  </si>
  <si>
    <t>Контрольная работа №1 " Знакомство"</t>
  </si>
  <si>
    <t>Контрольная работа №2 " Мой класс"</t>
  </si>
  <si>
    <t>Контрольная работа №3 " Животные"</t>
  </si>
  <si>
    <t>Контрольная работа №3  "Мой  день в школе"</t>
  </si>
  <si>
    <t>Контрольная работа №5 "Хобби"</t>
  </si>
  <si>
    <t>глава "Мой класс"</t>
  </si>
  <si>
    <t>глава "Животные"</t>
  </si>
  <si>
    <t>глава "Мой школьный день"</t>
  </si>
  <si>
    <t>06</t>
  </si>
  <si>
    <t>глава "Семья"</t>
  </si>
  <si>
    <t>глава "Мое свободное время"</t>
  </si>
  <si>
    <t>глава "Вечеринки"</t>
  </si>
  <si>
    <t xml:space="preserve"> 06</t>
  </si>
  <si>
    <t>глава "Город"</t>
  </si>
  <si>
    <t>глава "Смотрится отлично"</t>
  </si>
  <si>
    <t>Контрольная работа №6 "Моя семья"</t>
  </si>
  <si>
    <t>глава "Это вкусно"</t>
  </si>
  <si>
    <t>глава "Школьный обмен"</t>
  </si>
  <si>
    <t>глава "Праздники"</t>
  </si>
  <si>
    <t>глава "Воздух Берлина"</t>
  </si>
  <si>
    <t>глава "Окружающий мир"</t>
  </si>
  <si>
    <t>глава "Путешествие по Рейну"</t>
  </si>
  <si>
    <t>Контрольная работа№7" Сколько это стоит"</t>
  </si>
  <si>
    <t>глава "Выбор профессии"</t>
  </si>
  <si>
    <t>глава "СМИ"</t>
  </si>
  <si>
    <t>758 итог 9А, 9Б, 9В</t>
  </si>
  <si>
    <t>759 экз 9А, 9Б, 9В</t>
  </si>
  <si>
    <t>760 экз 9А, 9Б, 9В</t>
  </si>
  <si>
    <t>761 экз 9А, 9Б, 9В</t>
  </si>
  <si>
    <t>скопирована из ид: 534 № 1</t>
  </si>
  <si>
    <t>767 вх</t>
  </si>
  <si>
    <t>Входная контрольная работа в 8 классах
скопирована из ид: 489 № ИКР</t>
  </si>
  <si>
    <t>768 вх</t>
  </si>
  <si>
    <t>20 заданий: 16 - базового уровня, 4 - повышенного; из них - 3 - с выбором ответа, 1 - с развёрнутым ответом:1. Соблюдение норм построения текста.  2.Определение средств связи предложений в тексте. 3.Выделение в предложении грамматической основы. 4.Грамматические нормы  - выбор неверного варианта форм глагола (причастия и деепричастия). 5.Определение самостоятельных частей речи в тексте. 6, 17. Определение темы, основной мысли текста, функционально-смыслового типа текста или его фрагмента. 7.Адекватное понимание информации сообщения. 8, 11.Правописание Н и НН в различных частях речи. 9.Классификация самостоятельных частей речи. 10.Классификация служебных частей речи. 12.Слитное и раздельное написание НЕ с  различными частями речи. 13-15. Классификация служебных и самостоятельных частей речи. 16. Правописание личных окончаний глаголов и суффиксов причастий. 18. Соблюдение синтаксических норм построения текста. 19. Пунктуационный анализ. 20. Нахождение обособленных обстоятельств</t>
  </si>
  <si>
    <t>780 экз</t>
  </si>
  <si>
    <t>скопирована из ид: 726
№ ОГЭ по информатике от 31.05.2018
информатика 9А, 9Б, 9В
ИНФ-9 КОДИФ 2017</t>
  </si>
  <si>
    <t>825 вх</t>
  </si>
  <si>
    <t xml:space="preserve">Входнаяконтрольная работа за курс 5 класса
</t>
  </si>
  <si>
    <t>853 итог</t>
  </si>
  <si>
    <t xml:space="preserve">
скопирована из ид: 537
№ ИКР от 15.05.2018
русский язык 5А, 5Б, 5В, 5Г
РУ-9 КОДИФ 2016</t>
  </si>
  <si>
    <t>858 итог</t>
  </si>
  <si>
    <t>Административная итоговая контрольная работа
скопирована из ид: 644
№ 644 итог 4А, 4Г от 16.05.2018
математика 4А, 4Г
МА-4 КОДИФ 2018</t>
  </si>
  <si>
    <t>скопирована из ид: 598 № 598 итог 8Б
скопирована из ид: 602 № 602 итог 8В, 8Г
скопирована из ид: 632
№ 632 итог 8Б, 8В, 8Г, 8Д от 13.05.2018
английский язык 8А, 8Б, 8В, 8Г, 8Д
ЯА-9 КОДИФ 2016</t>
  </si>
  <si>
    <t>Итоговая контрольная работа по биологии за курс 6 класса
скопирована из ид: 497
№ ИКР от 18.04.2018
биология 6Д
БИ-9 КОДИФ 2016</t>
  </si>
  <si>
    <t>(Все)</t>
  </si>
  <si>
    <t>Values</t>
  </si>
  <si>
    <t>Названия строк</t>
  </si>
  <si>
    <t>кол-во КР</t>
  </si>
  <si>
    <t>(пусто)</t>
  </si>
  <si>
    <t>Общий итог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</si>
</sst>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1" x14ac:knownFonts="1">
    <font>
      <sz val="11"/>
      <color indexed="8"/>
      <name val="Calibri"/>
      <family val="2"/>
      <scheme val="minor"/>
    </font>
  </fonts>
  <fills count="2">
    <fill>
      <patternFill patternType="none"/>
    </fill>
    <fill>
      <patternFill patternType="gray125"/>
    </fill>
  </fills>
  <borders count="2">
    <border>
      <left/>
      <right/>
      <top/>
      <bottom/>
      <diagonal/>
    </border>
    <border>
      <left style="thin">
        <color indexed="54"/>
      </left>
      <right style="thin">
        <color indexed="54"/>
      </right>
      <top style="thin">
        <color indexed="54"/>
      </top>
      <bottom/>
      <diagonal/>
    </border>
  </borders>
  <cellStyleXfs count="1">
    <xf numFmtId="0" fontId="0" fillId="0" borderId="0"/>
  </cellStyleXfs>
  <cellXfs count="8">
    <xf numFmtId="0" fontId="0" fillId="0" borderId="0" xfId="0"/>
    <xf numFmtId="164" fontId="0" fillId="0" borderId="0" xfId="0" applyNumberFormat="1"/>
    <xf numFmtId="0" fontId="0" fillId="0" borderId="1" xfId="0" applyBorder="1" applyAlignment="1">
      <alignment horizontal="centerContinuous"/>
    </xf>
    <xf numFmtId="1" fontId="0" fillId="0" borderId="0" xfId="0" applyNumberFormat="1"/>
    <xf numFmtId="9" fontId="0" fillId="0" borderId="0" xfId="0" applyNumberFormat="1"/>
    <xf numFmtId="165" fontId="0" fillId="0" borderId="0" xfId="0" applyNumberFormat="1"/>
    <xf numFmtId="0" fontId="0" fillId="0" borderId="0" xfId="0" pivotButton="1"/>
    <xf numFmtId="2"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Сафарова Марина Леонидовна" refreshedDate="43371.540672222225" createdVersion="3" refreshedVersion="6" minRefreshableVersion="3" recordCount="464">
  <cacheSource type="worksheet">
    <worksheetSource ref="A2:AP466" sheet="КР"/>
  </cacheSource>
  <cacheFields count="42">
    <cacheField name="ссылка" numFmtId="0">
      <sharedItems/>
    </cacheField>
    <cacheField name="id" numFmtId="0">
      <sharedItems containsSemiMixedTypes="0" containsString="0" containsNumber="1" containsInteger="1" minValue="77" maxValue="901"/>
    </cacheField>
    <cacheField name="номер" numFmtId="0">
      <sharedItems/>
    </cacheField>
    <cacheField name="тип" numFmtId="0">
      <sharedItems count="6">
        <s v="входная"/>
        <s v="текущая"/>
        <s v="экзаменационная"/>
        <s v="административная"/>
        <s v="итоговая"/>
        <s v="особенная"/>
      </sharedItems>
    </cacheField>
    <cacheField name="предмет" numFmtId="0">
      <sharedItems containsBlank="1" count="20">
        <s v="окружающий мир"/>
        <s v="русский язык"/>
        <s v="математика"/>
        <s v="биология"/>
        <s v="физика"/>
        <s v="английский язык"/>
        <s v="история"/>
        <s v="химия"/>
        <s v="немецкий язык"/>
        <s v="обществознание"/>
        <s v="география"/>
        <s v="информатика"/>
        <s v="литература"/>
        <s v="французский язык"/>
        <s v="экология"/>
        <s v="литературное чтение"/>
        <s v="метапредмет"/>
        <m/>
        <s v="  " u="1"/>
        <s v=" " u="1"/>
      </sharedItems>
    </cacheField>
    <cacheField name="классы" numFmtId="0">
      <sharedItems count="102">
        <s v="4Г"/>
        <s v="11Б физ-мат"/>
        <s v="7В физ-мат"/>
        <s v="9В"/>
        <s v="8Г"/>
        <s v="7Б"/>
        <s v="8А, 8Б, 8В, 8Г, 8Д"/>
        <s v="8А"/>
        <s v="8Б"/>
        <s v="8В"/>
        <s v="8Д"/>
        <s v="10Б хим-био"/>
        <s v="10А соц-экон"/>
        <s v="11А"/>
        <s v="9А"/>
        <s v="11В хим-био"/>
        <s v="5Б"/>
        <s v="6Д"/>
        <s v="9А, 9Б, 9В"/>
        <s v="7Г"/>
        <s v="6В"/>
        <s v="6Б"/>
        <s v="6Г"/>
        <s v="9Б"/>
        <s v="5А"/>
        <s v="7А"/>
        <s v="10Б физ-мат"/>
        <s v="10Б физ-мат, 10Б хим-био"/>
        <s v="8А, 8Г"/>
        <s v="5В"/>
        <s v="6А"/>
        <s v="10А соц-гум, 10А соц-экон"/>
        <s v="8В, 8Г, 8Д"/>
        <s v="7А, 7В физ-мат, 7Г"/>
        <s v="5Г"/>
        <s v="10А соц-гум, 10А соц-экон, 10Б физ-мат"/>
        <s v="6А, 6В, 6Г, 6Д"/>
        <s v="11А, 11Б физ-мат"/>
        <s v="6В, 6Г, 6Д"/>
        <s v="6А, 6Г, 6Д"/>
        <s v="6А, 6Б, 6В, 6Г, 6Д"/>
        <s v="10А соц-гум"/>
        <s v="8В, 8Д"/>
        <s v="7А, 7Б, 7Г"/>
        <s v="8А, 8Б, 8В, 8Г"/>
        <s v="8А, 8Б, 8Г"/>
        <s v="11Б физ-мат, 11В хим-био"/>
        <s v="9Б, 9В"/>
        <s v="11А, 11В хим-био"/>
        <s v="5А, 5Б"/>
        <s v="11А, 11Б физ-мат, 11В хим-био"/>
        <s v="5А, 5Б, 5Г"/>
        <s v="5А, 5Б, 5В, 5Г"/>
        <s v="5А, 5Б, 5В"/>
        <s v="4А, 4Б, 4В, 4Г, 4Д, 4Е"/>
        <s v="7В физ-мат, 7Г"/>
        <s v="6Г, 6Д"/>
        <s v="6А, 6Б, 6В"/>
        <s v="7А, 7Б, 7В физ-мат, 7Г"/>
        <s v="10А соц-экон, 10Б физ-мат, 10Б хим-био"/>
        <s v="6А, 6Б, 6В, 6Г"/>
        <s v="5В, 5Г"/>
        <s v="9А, 9Б"/>
        <s v="8А, 8Б, 8Г, 8Д"/>
        <s v="10А соц-гум, 10А соц-экон, 10Б хим-био"/>
        <s v="10А соц-гум, 10А соц-экон, 10Б физ-мат, 10Б хим-био"/>
        <s v="5А, 5В, 5Г"/>
        <s v="4Г, 4Д"/>
        <s v="8В, 8Г"/>
        <s v="3А, 3В, 3Г, 3Д"/>
        <s v="3Б"/>
        <s v="3А, 3Б"/>
        <s v="3А"/>
        <s v="3А, 3В, 3Д"/>
        <s v="4Б, 4В"/>
        <s v="4А, 4Г"/>
        <s v="4Д, 4Е"/>
        <s v="2В"/>
        <s v="2А, 2Б"/>
        <s v="2Д, 2Е"/>
        <s v="10А соц-экон, 10Б хим-био"/>
        <s v="3Б, 3Г"/>
        <s v="4А, 4Б, 4В, 4Е"/>
        <s v="4Б, 4Г"/>
        <s v="8А, 8Д"/>
        <s v="4Д"/>
        <s v="3В, 3Д"/>
        <s v="2В, 2Г, 2Д"/>
        <s v="4А"/>
        <s v=""/>
        <s v="3Г"/>
        <s v="4Е"/>
        <s v="3Д"/>
        <s v="4В"/>
        <s v="3А, 3В, 3Г"/>
        <s v="2Е"/>
        <s v="2Б"/>
        <s v="4Б, 4В, 4Е"/>
        <s v="3В, 3Г, 3Д"/>
        <s v="3А, 3Д"/>
        <s v="2А"/>
        <s v="3В"/>
      </sharedItems>
    </cacheField>
    <cacheField name="дата" numFmtId="164">
      <sharedItems containsSemiMixedTypes="0" containsNonDate="0" containsDate="1" containsString="0" minDate="2017-09-04T00:00:00" maxDate="2018-09-24T16:05:32"/>
    </cacheField>
    <cacheField name="учитель" numFmtId="0">
      <sharedItems count="62">
        <s v="Токарева Т. И."/>
        <s v="Липатникова М. В."/>
        <s v="Шиховцова Г. А."/>
        <s v="Наймушина Д. К."/>
        <s v="Рыбинцева Н. В."/>
        <s v="Чижова О. Н."/>
        <s v="Сафарова М. Л."/>
        <s v="Леонова С. П."/>
        <s v="Шадрина В. А."/>
        <s v="Обухова О. Н."/>
        <s v="Иванова В. А."/>
        <s v="Берладин Л. М."/>
        <s v="Савельева Е. Н."/>
        <s v="Трубникова Н. А."/>
        <s v="Махова О. В."/>
        <s v="Панкова З. Н."/>
        <s v="Кулакова Е. Ю."/>
        <s v="Кравец Е. Н."/>
        <s v="Монахова А. А."/>
        <s v="Николаева А. А."/>
        <s v="Галактионова А. Т."/>
        <s v="Гилязетдинова Г. Х."/>
        <s v="Ивонина А. С."/>
        <s v="Ефимова А. А."/>
        <s v="Андрианова С. И."/>
        <s v="Лугаманова Д. Ф."/>
        <s v="Вайтман М. В."/>
        <s v="Ходунова А. В."/>
        <s v="Дебирова Т. А."/>
        <s v="Савельева И. В."/>
        <s v="Иванова Л. А."/>
        <s v="Скуратова Ю. Р."/>
        <s v="Филиппов Д. С."/>
        <s v="Леханова Г. Н."/>
        <s v="Беляева М. М."/>
        <s v="Цедик Л. А."/>
        <s v="Новикова Ю. Е."/>
        <s v="Дядина О. Ю."/>
        <s v="Ремизова Е. А."/>
        <s v="Лисуненко О. П."/>
        <s v="Карпухина Л. А."/>
        <s v="Загайская Е. Д."/>
        <s v="Цыбульник О. В."/>
        <s v="Грунина Э. Ю."/>
        <s v="Кудинова О. В."/>
        <s v="Коренюгина Л. В."/>
        <s v="Величко О. П."/>
        <s v="Редько А. В."/>
        <s v="Чернакова М. П."/>
        <s v="Кисеева А. Н."/>
        <s v="Каменская И. В."/>
        <s v="Попова А. В."/>
        <s v="Богданова К. А."/>
        <s v="Эсенбаева К. А."/>
        <s v="Козлова И. И."/>
        <s v="Орос Л. И."/>
        <s v="Гостева И. И."/>
        <s v="Масликова О. С."/>
        <s v="Асланова А. Т."/>
        <s v="Басманова Е. Г."/>
        <s v="  " u="1"/>
        <s v=" " u="1"/>
      </sharedItems>
    </cacheField>
    <cacheField name="состояние" numFmtId="0">
      <sharedItems containsBlank="1" count="4">
        <s v="выполнение"/>
        <s v="подписана"/>
        <m/>
        <s v="проверена"/>
      </sharedItems>
    </cacheField>
    <cacheField name="описание" numFmtId="0">
      <sharedItems containsBlank="1" longText="1"/>
    </cacheField>
    <cacheField name="Выполнено, баллов" numFmtId="1">
      <sharedItems containsString="0" containsBlank="1" containsNumber="1" containsInteger="1" minValue="0" maxValue="4147"/>
    </cacheField>
    <cacheField name="Не выполнено, баллов" numFmtId="1">
      <sharedItems containsString="0" containsBlank="1" containsNumber="1" containsInteger="1" minValue="0" maxValue="1580"/>
    </cacheField>
    <cacheField name="Проверено, баллов" numFmtId="1">
      <sharedItems containsString="0" containsBlank="1" containsNumber="1" containsInteger="1" minValue="0" maxValue="5472"/>
    </cacheField>
    <cacheField name="% выполнения КЭС" numFmtId="9">
      <sharedItems containsString="0" containsBlank="1" containsNumber="1" minValue="0" maxValue="0.93"/>
    </cacheField>
    <cacheField name="Уч-ся КР с оценкой" numFmtId="1">
      <sharedItems containsString="0" containsBlank="1" containsNumber="1" containsInteger="1" minValue="0" maxValue="150"/>
    </cacheField>
    <cacheField name="Уч-ся КР с оценкой 3, 4, 5" numFmtId="1">
      <sharedItems containsNonDate="0" containsString="0" containsBlank="1"/>
    </cacheField>
    <cacheField name="Уч-ся КР 4-5" numFmtId="1">
      <sharedItems containsString="0" containsBlank="1" containsNumber="1" containsInteger="1" minValue="0" maxValue="118"/>
    </cacheField>
    <cacheField name="Уч-ся КР, всего" numFmtId="1">
      <sharedItems containsString="0" containsBlank="1" containsNumber="1" containsInteger="1" minValue="0" maxValue="150"/>
    </cacheField>
    <cacheField name="Рек. оценка средн." numFmtId="165">
      <sharedItems containsString="0" containsBlank="1" containsNumber="1" minValue="0" maxValue="5"/>
    </cacheField>
    <cacheField name="Оценка средняя" numFmtId="165">
      <sharedItems containsString="0" containsBlank="1" containsNumber="1" minValue="0" maxValue="5"/>
    </cacheField>
    <cacheField name="ОЦ" numFmtId="9">
      <sharedItems containsString="0" containsBlank="1" containsNumber="1" minValue="0" maxValue="1"/>
    </cacheField>
    <cacheField name="РЕЗ" numFmtId="9">
      <sharedItems containsString="0" containsBlank="1" containsNumber="1" minValue="0" maxValue="0.93"/>
    </cacheField>
    <cacheField name="СО" numFmtId="9">
      <sharedItems containsString="0" containsBlank="1" containsNumber="1" minValue="-1.04" maxValue="1"/>
    </cacheField>
    <cacheField name="УР" numFmtId="9">
      <sharedItems containsString="0" containsBlank="1" containsNumber="1" minValue="0" maxValue="1.21"/>
    </cacheField>
    <cacheField name="КО" numFmtId="9">
      <sharedItems containsString="0" containsBlank="1" containsNumber="1" minValue="0" maxValue="1"/>
    </cacheField>
    <cacheField name="НЕУСП" numFmtId="9">
      <sharedItems containsString="0" containsBlank="1" containsNumber="1" minValue="7.0000000000000007E-2" maxValue="1"/>
    </cacheField>
    <cacheField name="Уч-ся ПИБ" numFmtId="1">
      <sharedItems containsString="0" containsBlank="1" containsNumber="1" containsInteger="1" minValue="0" maxValue="118"/>
    </cacheField>
    <cacheField name="Уч-ся ПИБ 4-5" numFmtId="1">
      <sharedItems containsString="0" containsBlank="1" containsNumber="1" containsInteger="1" minValue="0" maxValue="109"/>
    </cacheField>
    <cacheField name="ПИБ средний" numFmtId="165">
      <sharedItems containsString="0" containsBlank="1" containsNumber="1" minValue="0" maxValue="5"/>
    </cacheField>
    <cacheField name="ИСО" numFmtId="9">
      <sharedItems containsString="0" containsBlank="1" containsNumber="1" minValue="0" maxValue="1"/>
    </cacheField>
    <cacheField name="ИРО" numFmtId="9">
      <sharedItems containsString="0" containsBlank="1" containsNumber="1" minValue="0" maxValue="1"/>
    </cacheField>
    <cacheField name="ИКО" numFmtId="9">
      <sharedItems containsString="0" containsBlank="1" containsNumber="1" minValue="0" maxValue="1"/>
    </cacheField>
    <cacheField name="ИНО" numFmtId="9">
      <sharedItems containsString="0" containsBlank="1" containsNumber="1" minValue="0" maxValue="1"/>
    </cacheField>
    <cacheField name="Вып. баз-й ур-нь" numFmtId="9">
      <sharedItems containsString="0" containsBlank="1" containsNumber="1" minValue="0" maxValue="1"/>
    </cacheField>
    <cacheField name="Вып. пов-й ур-нь" numFmtId="9">
      <sharedItems containsString="0" containsBlank="1" containsNumber="1" minValue="0" maxValue="0.98"/>
    </cacheField>
    <cacheField name="Оценки выставлены" numFmtId="0">
      <sharedItems count="3">
        <s v=""/>
        <s v="не объективно"/>
        <s v="объективно"/>
      </sharedItems>
    </cacheField>
    <cacheField name="Результативность" numFmtId="0">
      <sharedItems count="4">
        <s v=""/>
        <s v="достаточная"/>
        <s v="высокая"/>
        <s v="низкая"/>
      </sharedItems>
    </cacheField>
    <cacheField name="Успеваемость" numFmtId="0">
      <sharedItems count="4">
        <s v=""/>
        <s v="высокая"/>
        <s v="низкая"/>
        <s v="достаточная"/>
      </sharedItems>
    </cacheField>
    <cacheField name="Уровень РЕЗ" numFmtId="0">
      <sharedItems count="4">
        <s v=""/>
        <s v="оптимальный"/>
        <s v="критический"/>
        <s v="достаточный"/>
      </sharedItems>
    </cacheField>
    <cacheField name="Сильные уч-ся" numFmtId="0">
      <sharedItems count="3">
        <s v=""/>
        <s v="не справились"/>
        <s v="справились"/>
      </sharedItems>
    </cacheField>
    <cacheField name="Работа со слабыми" numFmtId="0">
      <sharedItems count="4">
        <s v=""/>
        <s v="проведена"/>
        <s v="не проведена"/>
        <s v="проведена на высоком уровне"/>
      </sharedItems>
    </cacheField>
    <cacheField name="Ожидаемые рез-ты" numFmtId="0">
      <sharedItems count="3">
        <s v=""/>
        <s v="реализованы"/>
        <s v="не реализованы"/>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4">
  <r>
    <s v="/krs/77"/>
    <n v="77"/>
    <s v="1"/>
    <x v="0"/>
    <x v="0"/>
    <x v="0"/>
    <d v="2017-09-07T00:00:00"/>
    <x v="0"/>
    <x v="0"/>
    <m/>
    <m/>
    <m/>
    <m/>
    <m/>
    <m/>
    <m/>
    <m/>
    <m/>
    <m/>
    <m/>
    <m/>
    <m/>
    <m/>
    <m/>
    <m/>
    <m/>
    <m/>
    <m/>
    <m/>
    <m/>
    <m/>
    <m/>
    <m/>
    <m/>
    <m/>
    <x v="0"/>
    <x v="0"/>
    <x v="0"/>
    <x v="0"/>
    <x v="0"/>
    <x v="0"/>
    <x v="0"/>
  </r>
  <r>
    <s v="/krs/78"/>
    <n v="78"/>
    <s v="01"/>
    <x v="0"/>
    <x v="1"/>
    <x v="1"/>
    <d v="2017-09-04T00:00:00"/>
    <x v="1"/>
    <x v="1"/>
    <s v="Решение демоверсии теста ЕГЭ-2018"/>
    <n v="359"/>
    <n v="185"/>
    <n v="544"/>
    <n v="0.66"/>
    <n v="16"/>
    <m/>
    <n v="12"/>
    <n v="14"/>
    <n v="3.6"/>
    <n v="3.6"/>
    <n v="0.83"/>
    <n v="0.66"/>
    <n v="0.86"/>
    <n v="0.93"/>
    <n v="0.86"/>
    <n v="0.34"/>
    <n v="14"/>
    <n v="6"/>
    <n v="3.5"/>
    <n v="0.93"/>
    <n v="0.71"/>
    <n v="0.43"/>
    <n v="0.28999999999999998"/>
    <n v="0.69"/>
    <n v="0.63"/>
    <x v="1"/>
    <x v="1"/>
    <x v="1"/>
    <x v="1"/>
    <x v="1"/>
    <x v="1"/>
    <x v="1"/>
  </r>
  <r>
    <s v="/krs/79"/>
    <n v="79"/>
    <s v="0"/>
    <x v="0"/>
    <x v="2"/>
    <x v="2"/>
    <d v="2017-09-11T16:03:59"/>
    <x v="2"/>
    <x v="0"/>
    <s v="Входная контрольная работа"/>
    <n v="367"/>
    <n v="153"/>
    <n v="520"/>
    <n v="0.71"/>
    <n v="26"/>
    <m/>
    <n v="16"/>
    <n v="26"/>
    <n v="3.8"/>
    <n v="3.7"/>
    <n v="0.74"/>
    <n v="0.71"/>
    <n v="0.96"/>
    <n v="0.85"/>
    <n v="0.62"/>
    <n v="0.28999999999999998"/>
    <n v="26"/>
    <n v="21"/>
    <n v="4.2"/>
    <n v="1"/>
    <n v="0.84"/>
    <n v="0.81"/>
    <n v="0.16"/>
    <n v="0.75"/>
    <n v="0"/>
    <x v="2"/>
    <x v="2"/>
    <x v="1"/>
    <x v="2"/>
    <x v="1"/>
    <x v="2"/>
    <x v="2"/>
  </r>
  <r>
    <s v="/krs/80"/>
    <n v="80"/>
    <s v="01"/>
    <x v="0"/>
    <x v="1"/>
    <x v="3"/>
    <d v="2017-09-04T00:00:00"/>
    <x v="1"/>
    <x v="1"/>
    <s v="Решение демоверсии экзаменационной работы ОГЭ-2018"/>
    <n v="517"/>
    <n v="183"/>
    <n v="700"/>
    <n v="0.74"/>
    <n v="25"/>
    <m/>
    <n v="17"/>
    <n v="25"/>
    <n v="3.6"/>
    <n v="3.7"/>
    <n v="0.74"/>
    <n v="0.74"/>
    <n v="1"/>
    <n v="1.03"/>
    <n v="0.68"/>
    <n v="0.26"/>
    <n v="25"/>
    <n v="13"/>
    <n v="3.6"/>
    <n v="0.8"/>
    <n v="0.72"/>
    <n v="0.52"/>
    <n v="0.28000000000000003"/>
    <n v="0.74"/>
    <n v="0.71"/>
    <x v="2"/>
    <x v="2"/>
    <x v="1"/>
    <x v="1"/>
    <x v="1"/>
    <x v="3"/>
    <x v="1"/>
  </r>
  <r>
    <s v="/krs/82"/>
    <n v="82"/>
    <s v="02"/>
    <x v="1"/>
    <x v="1"/>
    <x v="1"/>
    <d v="2017-09-04T00:00:00"/>
    <x v="1"/>
    <x v="1"/>
    <s v="Сочинение-рассуждение на основе исходного текста"/>
    <n v="164"/>
    <n v="196"/>
    <n v="360"/>
    <n v="0.46"/>
    <n v="15"/>
    <m/>
    <n v="2"/>
    <n v="15"/>
    <n v="2.5"/>
    <n v="3"/>
    <n v="0.6"/>
    <n v="0.46"/>
    <n v="0.87"/>
    <n v="0.71"/>
    <n v="0.13"/>
    <n v="0.54"/>
    <n v="15"/>
    <n v="5"/>
    <n v="3.3"/>
    <n v="0.8"/>
    <n v="0.65"/>
    <n v="0.33"/>
    <n v="0.35"/>
    <n v="0.63"/>
    <n v="0.44"/>
    <x v="1"/>
    <x v="3"/>
    <x v="1"/>
    <x v="2"/>
    <x v="1"/>
    <x v="2"/>
    <x v="2"/>
  </r>
  <r>
    <s v="/krs/83"/>
    <n v="83"/>
    <s v="01"/>
    <x v="0"/>
    <x v="3"/>
    <x v="2"/>
    <d v="2017-09-06T00:00:00"/>
    <x v="3"/>
    <x v="0"/>
    <m/>
    <m/>
    <m/>
    <m/>
    <m/>
    <m/>
    <m/>
    <m/>
    <m/>
    <m/>
    <m/>
    <m/>
    <m/>
    <m/>
    <m/>
    <m/>
    <m/>
    <m/>
    <m/>
    <m/>
    <m/>
    <m/>
    <m/>
    <m/>
    <m/>
    <m/>
    <x v="0"/>
    <x v="0"/>
    <x v="0"/>
    <x v="0"/>
    <x v="0"/>
    <x v="0"/>
    <x v="0"/>
  </r>
  <r>
    <s v="/krs/84"/>
    <n v="84"/>
    <s v="01"/>
    <x v="0"/>
    <x v="3"/>
    <x v="4"/>
    <d v="2017-09-12T00:00:00"/>
    <x v="3"/>
    <x v="0"/>
    <m/>
    <m/>
    <m/>
    <m/>
    <m/>
    <m/>
    <m/>
    <m/>
    <m/>
    <m/>
    <m/>
    <m/>
    <m/>
    <m/>
    <m/>
    <m/>
    <m/>
    <m/>
    <m/>
    <m/>
    <m/>
    <m/>
    <m/>
    <m/>
    <m/>
    <m/>
    <x v="0"/>
    <x v="0"/>
    <x v="0"/>
    <x v="0"/>
    <x v="0"/>
    <x v="0"/>
    <x v="0"/>
  </r>
  <r>
    <s v="/krs/85"/>
    <n v="85"/>
    <s v="01"/>
    <x v="0"/>
    <x v="3"/>
    <x v="5"/>
    <d v="2017-09-07T00:00:00"/>
    <x v="3"/>
    <x v="0"/>
    <m/>
    <n v="5"/>
    <n v="135"/>
    <n v="140"/>
    <n v="0.04"/>
    <n v="28"/>
    <m/>
    <n v="1"/>
    <n v="28"/>
    <n v="2.1"/>
    <n v="1.1000000000000001"/>
    <n v="0.23"/>
    <n v="0.04"/>
    <n v="0.04"/>
    <n v="0.04"/>
    <n v="0.04"/>
    <n v="0.96"/>
    <n v="1"/>
    <n v="1"/>
    <n v="4.5"/>
    <n v="1"/>
    <n v="0.9"/>
    <n v="1"/>
    <n v="0.1"/>
    <n v="0.04"/>
    <n v="0"/>
    <x v="1"/>
    <x v="3"/>
    <x v="2"/>
    <x v="2"/>
    <x v="1"/>
    <x v="2"/>
    <x v="2"/>
  </r>
  <r>
    <s v="/krs/87"/>
    <n v="87"/>
    <s v="01"/>
    <x v="0"/>
    <x v="4"/>
    <x v="6"/>
    <d v="2017-09-13T14:49:24"/>
    <x v="4"/>
    <x v="0"/>
    <m/>
    <n v="1166"/>
    <n v="894"/>
    <n v="2060"/>
    <n v="0.56999999999999995"/>
    <n v="103"/>
    <m/>
    <n v="48"/>
    <n v="103"/>
    <n v="3.5"/>
    <n v="3"/>
    <n v="0.6"/>
    <n v="0.56999999999999995"/>
    <n v="0.67"/>
    <n v="0.77"/>
    <n v="0.47"/>
    <n v="0.43"/>
    <n v="78"/>
    <n v="32"/>
    <n v="3.7"/>
    <n v="0.91"/>
    <n v="0.74"/>
    <n v="0.41"/>
    <n v="0.26"/>
    <n v="0.67"/>
    <n v="0.47"/>
    <x v="2"/>
    <x v="3"/>
    <x v="3"/>
    <x v="2"/>
    <x v="2"/>
    <x v="2"/>
    <x v="2"/>
  </r>
  <r>
    <s v="/krs/88"/>
    <n v="88"/>
    <s v="01"/>
    <x v="0"/>
    <x v="5"/>
    <x v="7"/>
    <d v="2017-09-07T00:00:00"/>
    <x v="5"/>
    <x v="0"/>
    <m/>
    <n v="34"/>
    <n v="21"/>
    <n v="55"/>
    <n v="0.62"/>
    <n v="11"/>
    <m/>
    <n v="4"/>
    <n v="11"/>
    <n v="3.5"/>
    <n v="3.5"/>
    <n v="0.69"/>
    <n v="0.62"/>
    <n v="1"/>
    <n v="0.81"/>
    <n v="0.36"/>
    <n v="0.38"/>
    <n v="11"/>
    <n v="5"/>
    <n v="3.9"/>
    <n v="1"/>
    <n v="0.77"/>
    <n v="0.45"/>
    <n v="0.23"/>
    <n v="0.73"/>
    <n v="0.45"/>
    <x v="2"/>
    <x v="1"/>
    <x v="1"/>
    <x v="2"/>
    <x v="2"/>
    <x v="2"/>
    <x v="2"/>
  </r>
  <r>
    <s v="/krs/89"/>
    <n v="89"/>
    <s v="01"/>
    <x v="0"/>
    <x v="5"/>
    <x v="8"/>
    <d v="2017-09-07T00:00:00"/>
    <x v="5"/>
    <x v="0"/>
    <m/>
    <n v="36"/>
    <n v="14"/>
    <n v="50"/>
    <n v="0.72"/>
    <n v="10"/>
    <m/>
    <n v="7"/>
    <n v="10"/>
    <n v="3.9"/>
    <n v="3.8"/>
    <n v="0.76"/>
    <n v="0.72"/>
    <n v="1"/>
    <n v="0.92"/>
    <n v="0.7"/>
    <n v="0.28000000000000003"/>
    <n v="10"/>
    <n v="6"/>
    <n v="3.9"/>
    <n v="1"/>
    <n v="0.78"/>
    <n v="0.6"/>
    <n v="0.22"/>
    <n v="0.7"/>
    <n v="0"/>
    <x v="2"/>
    <x v="2"/>
    <x v="1"/>
    <x v="3"/>
    <x v="1"/>
    <x v="1"/>
    <x v="1"/>
  </r>
  <r>
    <s v="/krs/90"/>
    <n v="90"/>
    <s v="01"/>
    <x v="0"/>
    <x v="5"/>
    <x v="9"/>
    <d v="2017-09-06T00:00:00"/>
    <x v="5"/>
    <x v="0"/>
    <m/>
    <n v="42"/>
    <n v="18"/>
    <n v="60"/>
    <n v="0.7"/>
    <n v="12"/>
    <m/>
    <n v="9"/>
    <n v="12"/>
    <n v="3.8"/>
    <n v="3.8"/>
    <n v="0.75"/>
    <n v="0.7"/>
    <n v="1"/>
    <n v="0.96"/>
    <n v="0.75"/>
    <n v="0.3"/>
    <n v="12"/>
    <n v="5"/>
    <n v="3.6"/>
    <n v="0.92"/>
    <n v="0.73"/>
    <n v="0.42"/>
    <n v="0.27"/>
    <n v="0.7"/>
    <n v="0.71"/>
    <x v="2"/>
    <x v="2"/>
    <x v="1"/>
    <x v="1"/>
    <x v="1"/>
    <x v="3"/>
    <x v="1"/>
  </r>
  <r>
    <s v="/krs/91"/>
    <n v="91"/>
    <s v="01"/>
    <x v="0"/>
    <x v="5"/>
    <x v="4"/>
    <d v="2017-09-06T00:00:00"/>
    <x v="5"/>
    <x v="0"/>
    <m/>
    <n v="57"/>
    <n v="13"/>
    <n v="70"/>
    <n v="0.81"/>
    <n v="14"/>
    <m/>
    <n v="11"/>
    <n v="14"/>
    <n v="4.0999999999999996"/>
    <n v="4.0999999999999996"/>
    <n v="0.81"/>
    <n v="0.81"/>
    <n v="1"/>
    <n v="0.95"/>
    <n v="0.79"/>
    <n v="0.19"/>
    <n v="14"/>
    <n v="13"/>
    <n v="4.2"/>
    <n v="1"/>
    <n v="0.85"/>
    <n v="0.93"/>
    <n v="0.15"/>
    <n v="0.78"/>
    <n v="0"/>
    <x v="2"/>
    <x v="2"/>
    <x v="1"/>
    <x v="1"/>
    <x v="1"/>
    <x v="3"/>
    <x v="1"/>
  </r>
  <r>
    <s v="/krs/92"/>
    <n v="92"/>
    <s v="01"/>
    <x v="0"/>
    <x v="5"/>
    <x v="10"/>
    <d v="2017-09-06T00:00:00"/>
    <x v="5"/>
    <x v="0"/>
    <m/>
    <n v="25"/>
    <n v="10"/>
    <n v="35"/>
    <n v="0.71"/>
    <n v="7"/>
    <m/>
    <n v="4"/>
    <n v="7"/>
    <n v="3.9"/>
    <n v="3.6"/>
    <n v="0.71"/>
    <n v="0.71"/>
    <n v="1"/>
    <n v="1.01"/>
    <n v="0.56999999999999995"/>
    <n v="0.28999999999999998"/>
    <n v="7"/>
    <n v="2"/>
    <n v="3.5"/>
    <n v="1"/>
    <n v="0.7"/>
    <n v="0.28999999999999998"/>
    <n v="0.3"/>
    <n v="0.71"/>
    <n v="0"/>
    <x v="2"/>
    <x v="2"/>
    <x v="1"/>
    <x v="1"/>
    <x v="1"/>
    <x v="3"/>
    <x v="1"/>
  </r>
  <r>
    <s v="/krs/94"/>
    <n v="94"/>
    <s v="01"/>
    <x v="0"/>
    <x v="5"/>
    <x v="11"/>
    <d v="2017-09-07T00:00:00"/>
    <x v="5"/>
    <x v="0"/>
    <m/>
    <n v="50"/>
    <n v="20"/>
    <n v="70"/>
    <n v="0.71"/>
    <n v="14"/>
    <m/>
    <n v="8"/>
    <n v="14"/>
    <n v="3.9"/>
    <n v="3.6"/>
    <n v="0.73"/>
    <n v="0.71"/>
    <n v="0.93"/>
    <n v="0.93"/>
    <n v="0.56999999999999995"/>
    <n v="0.28999999999999998"/>
    <n v="14"/>
    <n v="8"/>
    <n v="3.8"/>
    <n v="0.93"/>
    <n v="0.76"/>
    <n v="0.56999999999999995"/>
    <n v="0.24"/>
    <n v="0.71"/>
    <n v="0"/>
    <x v="2"/>
    <x v="2"/>
    <x v="1"/>
    <x v="1"/>
    <x v="2"/>
    <x v="1"/>
    <x v="1"/>
  </r>
  <r>
    <s v="/krs/95"/>
    <n v="95"/>
    <s v="01"/>
    <x v="0"/>
    <x v="5"/>
    <x v="12"/>
    <d v="2017-09-08T00:00:00"/>
    <x v="5"/>
    <x v="0"/>
    <m/>
    <n v="50"/>
    <n v="20"/>
    <n v="70"/>
    <n v="0.71"/>
    <n v="14"/>
    <m/>
    <n v="8"/>
    <n v="14"/>
    <n v="3.9"/>
    <n v="3.6"/>
    <n v="0.71"/>
    <n v="0.71"/>
    <n v="1"/>
    <n v="0.97"/>
    <n v="0.56999999999999995"/>
    <n v="0.28999999999999998"/>
    <n v="14"/>
    <n v="9"/>
    <n v="3.6"/>
    <n v="0.93"/>
    <n v="0.73"/>
    <n v="0.64"/>
    <n v="0.27"/>
    <n v="0.71"/>
    <n v="0"/>
    <x v="2"/>
    <x v="2"/>
    <x v="1"/>
    <x v="1"/>
    <x v="2"/>
    <x v="3"/>
    <x v="1"/>
  </r>
  <r>
    <s v="/krs/96"/>
    <n v="96"/>
    <s v="01"/>
    <x v="0"/>
    <x v="3"/>
    <x v="4"/>
    <d v="2017-09-12T00:00:00"/>
    <x v="3"/>
    <x v="0"/>
    <m/>
    <n v="453"/>
    <n v="197"/>
    <n v="650"/>
    <n v="0.7"/>
    <n v="25"/>
    <m/>
    <n v="19"/>
    <n v="25"/>
    <n v="3.8"/>
    <n v="4"/>
    <n v="0.79"/>
    <n v="0.7"/>
    <n v="1"/>
    <n v="0.86"/>
    <n v="0.76"/>
    <n v="0.3"/>
    <n v="25"/>
    <n v="19"/>
    <n v="4.0999999999999996"/>
    <n v="1"/>
    <n v="0.81"/>
    <n v="0.76"/>
    <n v="0.19"/>
    <n v="0.69"/>
    <n v="0.7"/>
    <x v="2"/>
    <x v="2"/>
    <x v="1"/>
    <x v="2"/>
    <x v="2"/>
    <x v="2"/>
    <x v="2"/>
  </r>
  <r>
    <s v="/krs/97"/>
    <n v="97"/>
    <s v="1"/>
    <x v="0"/>
    <x v="6"/>
    <x v="13"/>
    <d v="2017-09-14T12:41:28"/>
    <x v="6"/>
    <x v="1"/>
    <s v="Входной контроль по темам 2016-2017 учебного года"/>
    <n v="47"/>
    <n v="8"/>
    <n v="55"/>
    <n v="0.85"/>
    <n v="11"/>
    <m/>
    <n v="10"/>
    <n v="11"/>
    <n v="4.4000000000000004"/>
    <n v="4.5"/>
    <n v="0.89"/>
    <n v="0.85"/>
    <n v="1"/>
    <n v="0.97"/>
    <n v="0.91"/>
    <n v="0.15"/>
    <n v="11"/>
    <n v="10"/>
    <n v="4.4000000000000004"/>
    <n v="1"/>
    <n v="0.88"/>
    <n v="0.91"/>
    <n v="0.12"/>
    <n v="0.86"/>
    <n v="0"/>
    <x v="2"/>
    <x v="2"/>
    <x v="1"/>
    <x v="1"/>
    <x v="2"/>
    <x v="3"/>
    <x v="1"/>
  </r>
  <r>
    <s v="/krs/98"/>
    <n v="98"/>
    <s v="0"/>
    <x v="0"/>
    <x v="2"/>
    <x v="14"/>
    <d v="2017-09-14T13:32:00"/>
    <x v="2"/>
    <x v="0"/>
    <s v="Входная контрольная работа"/>
    <n v="0"/>
    <n v="300"/>
    <n v="300"/>
    <n v="0"/>
    <n v="25"/>
    <m/>
    <n v="0"/>
    <n v="25"/>
    <n v="2"/>
    <n v="1"/>
    <n v="0.2"/>
    <n v="0"/>
    <n v="0"/>
    <n v="0"/>
    <n v="0"/>
    <n v="1"/>
    <n v="0"/>
    <n v="0"/>
    <n v="0"/>
    <n v="0"/>
    <n v="0"/>
    <n v="0"/>
    <n v="1"/>
    <n v="0"/>
    <n v="0"/>
    <x v="1"/>
    <x v="3"/>
    <x v="2"/>
    <x v="1"/>
    <x v="2"/>
    <x v="3"/>
    <x v="2"/>
  </r>
  <r>
    <s v="/krs/99"/>
    <n v="99"/>
    <s v="01"/>
    <x v="0"/>
    <x v="4"/>
    <x v="1"/>
    <d v="2017-09-15T10:41:23"/>
    <x v="4"/>
    <x v="0"/>
    <m/>
    <n v="153"/>
    <n v="119"/>
    <n v="272"/>
    <n v="0.56000000000000005"/>
    <n v="16"/>
    <m/>
    <n v="6"/>
    <n v="16"/>
    <n v="3.2"/>
    <n v="3.3"/>
    <n v="0.65"/>
    <n v="0.56000000000000005"/>
    <n v="0.88"/>
    <n v="0.85"/>
    <n v="0.38"/>
    <n v="0.44"/>
    <n v="16"/>
    <n v="3"/>
    <n v="3.3"/>
    <n v="0.75"/>
    <n v="0.66"/>
    <n v="0.19"/>
    <n v="0.34"/>
    <n v="0.7"/>
    <n v="0.66"/>
    <x v="2"/>
    <x v="3"/>
    <x v="1"/>
    <x v="3"/>
    <x v="1"/>
    <x v="2"/>
    <x v="2"/>
  </r>
  <r>
    <s v="/krs/100"/>
    <n v="100"/>
    <s v="1"/>
    <x v="0"/>
    <x v="1"/>
    <x v="15"/>
    <d v="2017-09-05T00:00:00"/>
    <x v="7"/>
    <x v="0"/>
    <s v="Решение демоверсии теста ЕГЭ-2018"/>
    <n v="498"/>
    <n v="102"/>
    <n v="600"/>
    <n v="0.83"/>
    <n v="20"/>
    <m/>
    <n v="18"/>
    <n v="20"/>
    <n v="4.3"/>
    <n v="4.2"/>
    <n v="0.83"/>
    <n v="0.83"/>
    <n v="1"/>
    <n v="1.01"/>
    <n v="0.9"/>
    <n v="0.17"/>
    <n v="19"/>
    <n v="13"/>
    <n v="4.0999999999999996"/>
    <n v="1"/>
    <n v="0.82"/>
    <n v="0.68"/>
    <n v="0.18"/>
    <n v="0.85"/>
    <n v="0"/>
    <x v="2"/>
    <x v="2"/>
    <x v="1"/>
    <x v="1"/>
    <x v="1"/>
    <x v="3"/>
    <x v="1"/>
  </r>
  <r>
    <s v="/krs/103"/>
    <n v="103"/>
    <s v="1"/>
    <x v="0"/>
    <x v="1"/>
    <x v="16"/>
    <d v="2017-09-12T00:00:00"/>
    <x v="8"/>
    <x v="0"/>
    <s v="Тестовая работа"/>
    <m/>
    <m/>
    <m/>
    <m/>
    <m/>
    <m/>
    <m/>
    <m/>
    <m/>
    <m/>
    <m/>
    <m/>
    <m/>
    <m/>
    <m/>
    <m/>
    <m/>
    <m/>
    <m/>
    <m/>
    <m/>
    <m/>
    <m/>
    <m/>
    <m/>
    <x v="0"/>
    <x v="0"/>
    <x v="0"/>
    <x v="0"/>
    <x v="0"/>
    <x v="0"/>
    <x v="0"/>
  </r>
  <r>
    <s v="/krs/104"/>
    <n v="104"/>
    <s v="1"/>
    <x v="0"/>
    <x v="1"/>
    <x v="7"/>
    <d v="2017-09-05T00:00:00"/>
    <x v="9"/>
    <x v="0"/>
    <s v="тест "/>
    <n v="578"/>
    <n v="82"/>
    <n v="660"/>
    <n v="0.88"/>
    <n v="22"/>
    <m/>
    <n v="21"/>
    <n v="22"/>
    <n v="4.5"/>
    <n v="4.3"/>
    <n v="0.86"/>
    <n v="0.88"/>
    <n v="1"/>
    <n v="1.02"/>
    <n v="0.95"/>
    <n v="0.12"/>
    <n v="22"/>
    <n v="20"/>
    <n v="4.3"/>
    <n v="1"/>
    <n v="0.86"/>
    <n v="0.91"/>
    <n v="0.14000000000000001"/>
    <n v="0.88"/>
    <n v="0.86"/>
    <x v="2"/>
    <x v="2"/>
    <x v="1"/>
    <x v="1"/>
    <x v="2"/>
    <x v="3"/>
    <x v="1"/>
  </r>
  <r>
    <s v="/krs/107"/>
    <n v="107"/>
    <s v="1"/>
    <x v="0"/>
    <x v="1"/>
    <x v="17"/>
    <d v="2017-09-06T00:00:00"/>
    <x v="9"/>
    <x v="0"/>
    <s v="тест"/>
    <m/>
    <m/>
    <m/>
    <m/>
    <m/>
    <m/>
    <m/>
    <m/>
    <m/>
    <m/>
    <m/>
    <m/>
    <m/>
    <m/>
    <m/>
    <m/>
    <m/>
    <m/>
    <m/>
    <m/>
    <m/>
    <m/>
    <m/>
    <m/>
    <m/>
    <x v="0"/>
    <x v="0"/>
    <x v="0"/>
    <x v="0"/>
    <x v="0"/>
    <x v="0"/>
    <x v="0"/>
  </r>
  <r>
    <s v="/krs/108"/>
    <n v="108"/>
    <s v="01"/>
    <x v="0"/>
    <x v="7"/>
    <x v="18"/>
    <d v="2017-09-12T00:00:00"/>
    <x v="10"/>
    <x v="0"/>
    <m/>
    <n v="269"/>
    <n v="156"/>
    <n v="425"/>
    <n v="0.63"/>
    <n v="25"/>
    <m/>
    <n v="10"/>
    <n v="25"/>
    <n v="3.5"/>
    <n v="3.5"/>
    <n v="0.7"/>
    <n v="0.63"/>
    <n v="1"/>
    <n v="0"/>
    <n v="0.4"/>
    <n v="0.37"/>
    <n v="0"/>
    <n v="0"/>
    <n v="0"/>
    <n v="0"/>
    <n v="0"/>
    <n v="0"/>
    <n v="1"/>
    <n v="0.81"/>
    <n v="0.38"/>
    <x v="2"/>
    <x v="1"/>
    <x v="1"/>
    <x v="1"/>
    <x v="1"/>
    <x v="3"/>
    <x v="2"/>
  </r>
  <r>
    <s v="/krs/111"/>
    <n v="111"/>
    <s v="01"/>
    <x v="0"/>
    <x v="7"/>
    <x v="3"/>
    <d v="2017-09-16T00:00:00"/>
    <x v="10"/>
    <x v="0"/>
    <m/>
    <n v="213"/>
    <n v="167"/>
    <n v="380"/>
    <n v="0.56000000000000005"/>
    <n v="20"/>
    <m/>
    <n v="9"/>
    <n v="20"/>
    <n v="3.2"/>
    <n v="3.3"/>
    <n v="0.66"/>
    <n v="0.56000000000000005"/>
    <n v="0.85"/>
    <n v="0"/>
    <n v="0.45"/>
    <n v="0.44"/>
    <n v="0"/>
    <n v="0"/>
    <n v="0"/>
    <n v="0"/>
    <n v="0"/>
    <n v="0"/>
    <n v="1"/>
    <n v="0.63"/>
    <n v="0.4"/>
    <x v="1"/>
    <x v="3"/>
    <x v="1"/>
    <x v="1"/>
    <x v="1"/>
    <x v="3"/>
    <x v="2"/>
  </r>
  <r>
    <s v="/krs/115"/>
    <n v="115"/>
    <s v="1"/>
    <x v="0"/>
    <x v="1"/>
    <x v="13"/>
    <d v="2017-09-08T00:00:00"/>
    <x v="11"/>
    <x v="0"/>
    <s v="Демоверсия 2018"/>
    <n v="870"/>
    <n v="82"/>
    <n v="952"/>
    <n v="0.91"/>
    <n v="28"/>
    <m/>
    <n v="0"/>
    <n v="28"/>
    <n v="4.7"/>
    <n v="1"/>
    <n v="0.2"/>
    <n v="0.91"/>
    <n v="0"/>
    <n v="0"/>
    <n v="0"/>
    <n v="0.09"/>
    <n v="0"/>
    <n v="0"/>
    <n v="0"/>
    <n v="0"/>
    <n v="0"/>
    <n v="0"/>
    <n v="1"/>
    <n v="0.95"/>
    <n v="0.79"/>
    <x v="1"/>
    <x v="2"/>
    <x v="2"/>
    <x v="1"/>
    <x v="2"/>
    <x v="3"/>
    <x v="2"/>
  </r>
  <r>
    <s v="/krs/116"/>
    <n v="116"/>
    <s v="0"/>
    <x v="0"/>
    <x v="2"/>
    <x v="19"/>
    <d v="2017-09-12T00:00:00"/>
    <x v="2"/>
    <x v="0"/>
    <s v="Входная контрольная работа"/>
    <n v="147"/>
    <n v="193"/>
    <n v="340"/>
    <n v="0.43"/>
    <n v="17"/>
    <m/>
    <n v="2"/>
    <n v="17"/>
    <n v="2.7"/>
    <n v="2.7"/>
    <n v="0.54"/>
    <n v="0.43"/>
    <n v="0.59"/>
    <n v="0.7"/>
    <n v="0.12"/>
    <n v="0.56999999999999995"/>
    <n v="17"/>
    <n v="1"/>
    <n v="3.1"/>
    <n v="0.82"/>
    <n v="0.61"/>
    <n v="0.06"/>
    <n v="0.39"/>
    <n v="0.54"/>
    <n v="0.28000000000000003"/>
    <x v="1"/>
    <x v="3"/>
    <x v="3"/>
    <x v="2"/>
    <x v="2"/>
    <x v="2"/>
    <x v="2"/>
  </r>
  <r>
    <s v="/krs/117"/>
    <n v="117"/>
    <s v="1"/>
    <x v="0"/>
    <x v="1"/>
    <x v="20"/>
    <d v="2017-09-05T00:00:00"/>
    <x v="11"/>
    <x v="0"/>
    <s v="Диагностическая работа в форме теста"/>
    <n v="299"/>
    <n v="79"/>
    <n v="378"/>
    <n v="0.79"/>
    <n v="18"/>
    <m/>
    <n v="13"/>
    <n v="18"/>
    <n v="4.2"/>
    <n v="3.9"/>
    <n v="0.79"/>
    <n v="0.79"/>
    <n v="0.94"/>
    <n v="0.98"/>
    <n v="0.72"/>
    <n v="0.21"/>
    <n v="17"/>
    <n v="9"/>
    <n v="4"/>
    <n v="1"/>
    <n v="0.81"/>
    <n v="0.53"/>
    <n v="0.19"/>
    <n v="0.8"/>
    <n v="0"/>
    <x v="2"/>
    <x v="2"/>
    <x v="1"/>
    <x v="1"/>
    <x v="1"/>
    <x v="3"/>
    <x v="1"/>
  </r>
  <r>
    <s v="/krs/122"/>
    <n v="122"/>
    <s v="1"/>
    <x v="0"/>
    <x v="1"/>
    <x v="14"/>
    <d v="2017-09-20T08:42:09"/>
    <x v="7"/>
    <x v="0"/>
    <s v="Решение демоверсии тест"/>
    <n v="215"/>
    <n v="85"/>
    <n v="300"/>
    <n v="0.72"/>
    <n v="25"/>
    <m/>
    <n v="17"/>
    <n v="25"/>
    <n v="3.9"/>
    <n v="3.9"/>
    <n v="0.78"/>
    <n v="0.72"/>
    <n v="0.96"/>
    <n v="0.9"/>
    <n v="0.68"/>
    <n v="0.28000000000000003"/>
    <n v="24"/>
    <n v="17"/>
    <n v="4"/>
    <n v="1"/>
    <n v="0.8"/>
    <n v="0.71"/>
    <n v="0.2"/>
    <n v="0.72"/>
    <n v="0"/>
    <x v="2"/>
    <x v="2"/>
    <x v="1"/>
    <x v="3"/>
    <x v="2"/>
    <x v="1"/>
    <x v="2"/>
  </r>
  <r>
    <s v="/krs/128"/>
    <n v="128"/>
    <s v="00"/>
    <x v="0"/>
    <x v="8"/>
    <x v="21"/>
    <d v="2017-09-12T00:00:00"/>
    <x v="12"/>
    <x v="1"/>
    <m/>
    <n v="166"/>
    <n v="153"/>
    <n v="319"/>
    <n v="0.52"/>
    <n v="11"/>
    <m/>
    <n v="3"/>
    <n v="11"/>
    <n v="2.8"/>
    <n v="2.8"/>
    <n v="0.56000000000000005"/>
    <n v="0.52"/>
    <n v="0.64"/>
    <n v="0.79"/>
    <n v="0.27"/>
    <n v="0.48"/>
    <n v="11"/>
    <n v="4"/>
    <n v="3.3"/>
    <n v="0.73"/>
    <n v="0.66"/>
    <n v="0.36"/>
    <n v="0.34"/>
    <n v="0.56999999999999995"/>
    <n v="0"/>
    <x v="2"/>
    <x v="3"/>
    <x v="3"/>
    <x v="2"/>
    <x v="2"/>
    <x v="2"/>
    <x v="2"/>
  </r>
  <r>
    <s v="/krs/129"/>
    <n v="129"/>
    <s v="00"/>
    <x v="0"/>
    <x v="8"/>
    <x v="20"/>
    <d v="2017-09-12T00:00:00"/>
    <x v="12"/>
    <x v="1"/>
    <m/>
    <n v="128"/>
    <n v="80"/>
    <n v="208"/>
    <n v="0.62"/>
    <n v="8"/>
    <m/>
    <n v="3"/>
    <n v="8"/>
    <n v="3.1"/>
    <n v="3"/>
    <n v="0.6"/>
    <n v="0.62"/>
    <n v="0.63"/>
    <n v="0.97"/>
    <n v="0.38"/>
    <n v="0.38"/>
    <n v="8"/>
    <n v="2"/>
    <n v="3.2"/>
    <n v="0.75"/>
    <n v="0.64"/>
    <n v="0.25"/>
    <n v="0.36"/>
    <n v="0.57999999999999996"/>
    <n v="0"/>
    <x v="2"/>
    <x v="1"/>
    <x v="3"/>
    <x v="1"/>
    <x v="1"/>
    <x v="3"/>
    <x v="1"/>
  </r>
  <r>
    <s v="/krs/131"/>
    <n v="131"/>
    <s v="00"/>
    <x v="0"/>
    <x v="8"/>
    <x v="22"/>
    <d v="2017-09-11T00:00:00"/>
    <x v="12"/>
    <x v="1"/>
    <m/>
    <n v="162"/>
    <n v="157"/>
    <n v="319"/>
    <n v="0.51"/>
    <n v="11"/>
    <m/>
    <n v="1"/>
    <n v="11"/>
    <n v="2.5"/>
    <n v="2.6"/>
    <n v="0.53"/>
    <n v="0.51"/>
    <n v="0.55000000000000004"/>
    <n v="0.8"/>
    <n v="0.09"/>
    <n v="0.49"/>
    <n v="11"/>
    <n v="2"/>
    <n v="3.2"/>
    <n v="0.64"/>
    <n v="0.64"/>
    <n v="0.18"/>
    <n v="0.36"/>
    <n v="0.51"/>
    <n v="0"/>
    <x v="2"/>
    <x v="3"/>
    <x v="3"/>
    <x v="2"/>
    <x v="2"/>
    <x v="2"/>
    <x v="2"/>
  </r>
  <r>
    <s v="/krs/132"/>
    <n v="132"/>
    <s v="00"/>
    <x v="0"/>
    <x v="8"/>
    <x v="17"/>
    <d v="2017-09-11T00:00:00"/>
    <x v="12"/>
    <x v="1"/>
    <m/>
    <n v="254"/>
    <n v="181"/>
    <n v="435"/>
    <n v="0.57999999999999996"/>
    <n v="15"/>
    <m/>
    <n v="6"/>
    <n v="15"/>
    <n v="3.1"/>
    <n v="3.1"/>
    <n v="0.63"/>
    <n v="0.57999999999999996"/>
    <n v="0.67"/>
    <n v="0.73"/>
    <n v="0.4"/>
    <n v="0.42"/>
    <n v="15"/>
    <n v="10"/>
    <n v="4"/>
    <n v="0.73"/>
    <n v="0.8"/>
    <n v="0.67"/>
    <n v="0.2"/>
    <n v="0.6"/>
    <n v="0"/>
    <x v="2"/>
    <x v="3"/>
    <x v="3"/>
    <x v="2"/>
    <x v="1"/>
    <x v="2"/>
    <x v="2"/>
  </r>
  <r>
    <s v="/krs/134"/>
    <n v="134"/>
    <s v="00"/>
    <x v="0"/>
    <x v="8"/>
    <x v="7"/>
    <d v="2017-09-19T00:00:00"/>
    <x v="12"/>
    <x v="1"/>
    <m/>
    <n v="239"/>
    <n v="131"/>
    <n v="370"/>
    <n v="0.65"/>
    <n v="10"/>
    <m/>
    <n v="5"/>
    <n v="10"/>
    <n v="3.2"/>
    <n v="3.3"/>
    <n v="0.66"/>
    <n v="0.65"/>
    <n v="0.7"/>
    <n v="0.78"/>
    <n v="0.5"/>
    <n v="0.35"/>
    <n v="8"/>
    <n v="5"/>
    <n v="4.0999999999999996"/>
    <n v="0.88"/>
    <n v="0.83"/>
    <n v="0.63"/>
    <n v="0.17"/>
    <n v="0.67"/>
    <n v="0"/>
    <x v="2"/>
    <x v="1"/>
    <x v="1"/>
    <x v="2"/>
    <x v="1"/>
    <x v="2"/>
    <x v="2"/>
  </r>
  <r>
    <s v="/krs/135"/>
    <n v="135"/>
    <s v="00"/>
    <x v="0"/>
    <x v="8"/>
    <x v="8"/>
    <d v="2017-09-13T00:00:00"/>
    <x v="12"/>
    <x v="1"/>
    <m/>
    <n v="124"/>
    <n v="61"/>
    <n v="185"/>
    <n v="0.67"/>
    <n v="5"/>
    <m/>
    <n v="2"/>
    <n v="5"/>
    <n v="3.4"/>
    <n v="3.6"/>
    <n v="0.72"/>
    <n v="0.67"/>
    <n v="0.8"/>
    <n v="0.93"/>
    <n v="0.4"/>
    <n v="0.33"/>
    <n v="5"/>
    <n v="2"/>
    <n v="3.6"/>
    <n v="1"/>
    <n v="0.72"/>
    <n v="0.4"/>
    <n v="0.28000000000000003"/>
    <n v="0.56999999999999995"/>
    <n v="0"/>
    <x v="2"/>
    <x v="1"/>
    <x v="1"/>
    <x v="1"/>
    <x v="2"/>
    <x v="1"/>
    <x v="1"/>
  </r>
  <r>
    <s v="/krs/138"/>
    <n v="138"/>
    <s v="00"/>
    <x v="0"/>
    <x v="8"/>
    <x v="9"/>
    <d v="2017-09-11T00:00:00"/>
    <x v="12"/>
    <x v="1"/>
    <m/>
    <n v="174"/>
    <n v="122"/>
    <n v="296"/>
    <n v="0.59"/>
    <n v="8"/>
    <m/>
    <n v="3"/>
    <n v="8"/>
    <n v="3.1"/>
    <n v="3.1"/>
    <n v="0.63"/>
    <n v="0.59"/>
    <n v="0.63"/>
    <n v="0.8"/>
    <n v="0.38"/>
    <n v="0.41"/>
    <n v="8"/>
    <n v="4"/>
    <n v="3.7"/>
    <n v="0.63"/>
    <n v="0.74"/>
    <n v="0.5"/>
    <n v="0.26"/>
    <n v="0.63"/>
    <n v="0"/>
    <x v="2"/>
    <x v="3"/>
    <x v="3"/>
    <x v="2"/>
    <x v="1"/>
    <x v="2"/>
    <x v="2"/>
  </r>
  <r>
    <s v="/krs/141"/>
    <n v="141"/>
    <s v="00"/>
    <x v="0"/>
    <x v="8"/>
    <x v="4"/>
    <d v="2017-09-11T00:00:00"/>
    <x v="12"/>
    <x v="1"/>
    <m/>
    <n v="155"/>
    <n v="178"/>
    <n v="333"/>
    <n v="0.47"/>
    <n v="9"/>
    <m/>
    <n v="0"/>
    <n v="9"/>
    <n v="2.4"/>
    <n v="2.4"/>
    <n v="0.49"/>
    <n v="0.47"/>
    <n v="0.44"/>
    <n v="0.77"/>
    <n v="0"/>
    <n v="0.53"/>
    <n v="9"/>
    <n v="1"/>
    <n v="3.1"/>
    <n v="0.67"/>
    <n v="0.61"/>
    <n v="0.11"/>
    <n v="0.39"/>
    <n v="0.46"/>
    <n v="0"/>
    <x v="2"/>
    <x v="3"/>
    <x v="2"/>
    <x v="2"/>
    <x v="1"/>
    <x v="2"/>
    <x v="2"/>
  </r>
  <r>
    <s v="/krs/142"/>
    <n v="142"/>
    <s v="00"/>
    <x v="0"/>
    <x v="8"/>
    <x v="10"/>
    <d v="2017-09-22T00:00:00"/>
    <x v="12"/>
    <x v="1"/>
    <m/>
    <n v="183"/>
    <n v="150"/>
    <n v="333"/>
    <n v="0.55000000000000004"/>
    <n v="9"/>
    <m/>
    <n v="2"/>
    <n v="9"/>
    <n v="2.8"/>
    <n v="2.8"/>
    <n v="0.56000000000000005"/>
    <n v="0.55000000000000004"/>
    <n v="0.56000000000000005"/>
    <n v="0.8"/>
    <n v="0.22"/>
    <n v="0.45"/>
    <n v="9"/>
    <n v="5"/>
    <n v="3.4"/>
    <n v="0.78"/>
    <n v="0.69"/>
    <n v="0.56000000000000005"/>
    <n v="0.31"/>
    <n v="0.6"/>
    <n v="0"/>
    <x v="2"/>
    <x v="3"/>
    <x v="3"/>
    <x v="2"/>
    <x v="1"/>
    <x v="2"/>
    <x v="2"/>
  </r>
  <r>
    <s v="/krs/143"/>
    <n v="143"/>
    <s v="00"/>
    <x v="0"/>
    <x v="8"/>
    <x v="14"/>
    <d v="2017-09-19T00:00:00"/>
    <x v="12"/>
    <x v="1"/>
    <m/>
    <n v="269"/>
    <n v="271"/>
    <n v="540"/>
    <n v="0.5"/>
    <n v="12"/>
    <m/>
    <n v="1"/>
    <n v="12"/>
    <n v="2.6"/>
    <n v="2.6"/>
    <n v="0.52"/>
    <n v="0.5"/>
    <n v="0.42"/>
    <n v="0.77"/>
    <n v="0.08"/>
    <n v="0.5"/>
    <n v="12"/>
    <n v="5"/>
    <n v="3.3"/>
    <n v="0.5"/>
    <n v="0.65"/>
    <n v="0.42"/>
    <n v="0.35"/>
    <n v="0.49"/>
    <n v="0"/>
    <x v="2"/>
    <x v="3"/>
    <x v="2"/>
    <x v="2"/>
    <x v="1"/>
    <x v="2"/>
    <x v="2"/>
  </r>
  <r>
    <s v="/krs/144"/>
    <n v="144"/>
    <s v="00"/>
    <x v="0"/>
    <x v="8"/>
    <x v="23"/>
    <d v="2017-09-20T00:00:00"/>
    <x v="12"/>
    <x v="1"/>
    <m/>
    <n v="332"/>
    <n v="227"/>
    <n v="559"/>
    <n v="0.59"/>
    <n v="13"/>
    <m/>
    <n v="5"/>
    <n v="13"/>
    <n v="3.1"/>
    <n v="3.2"/>
    <n v="0.63"/>
    <n v="0.59"/>
    <n v="0.69"/>
    <n v="0.79"/>
    <n v="0.38"/>
    <n v="0.41"/>
    <n v="13"/>
    <n v="9"/>
    <n v="3.7"/>
    <n v="0.77"/>
    <n v="0.75"/>
    <n v="0.69"/>
    <n v="0.25"/>
    <n v="0.57999999999999996"/>
    <n v="0"/>
    <x v="2"/>
    <x v="3"/>
    <x v="3"/>
    <x v="2"/>
    <x v="1"/>
    <x v="2"/>
    <x v="2"/>
  </r>
  <r>
    <s v="/krs/145"/>
    <n v="145"/>
    <s v="2"/>
    <x v="2"/>
    <x v="9"/>
    <x v="13"/>
    <d v="2017-12-25T00:00:00"/>
    <x v="13"/>
    <x v="1"/>
    <m/>
    <n v="948"/>
    <n v="1142"/>
    <n v="2090"/>
    <n v="0.45"/>
    <n v="22"/>
    <m/>
    <n v="0"/>
    <n v="22"/>
    <n v="2.2999999999999998"/>
    <n v="2.9"/>
    <n v="0.56999999999999995"/>
    <n v="0.45"/>
    <n v="0.86"/>
    <n v="0.55000000000000004"/>
    <n v="0"/>
    <n v="0.55000000000000004"/>
    <n v="22"/>
    <n v="16"/>
    <n v="4.0999999999999996"/>
    <n v="1"/>
    <n v="0.82"/>
    <n v="0.73"/>
    <n v="0.18"/>
    <n v="0.38"/>
    <n v="0.76"/>
    <x v="1"/>
    <x v="3"/>
    <x v="1"/>
    <x v="2"/>
    <x v="1"/>
    <x v="2"/>
    <x v="2"/>
  </r>
  <r>
    <s v="/krs/147"/>
    <n v="147"/>
    <s v="01"/>
    <x v="0"/>
    <x v="10"/>
    <x v="17"/>
    <d v="2017-09-12T00:00:00"/>
    <x v="14"/>
    <x v="0"/>
    <s v="входной контроль за 2016-2017 учебный год"/>
    <n v="395"/>
    <n v="155"/>
    <n v="550"/>
    <n v="0.72"/>
    <n v="25"/>
    <m/>
    <n v="17"/>
    <n v="25"/>
    <n v="3.9"/>
    <n v="3.8"/>
    <n v="0.77"/>
    <n v="0.72"/>
    <n v="1"/>
    <n v="0.89"/>
    <n v="0.68"/>
    <n v="0.28000000000000003"/>
    <n v="25"/>
    <n v="16"/>
    <n v="4.0999999999999996"/>
    <n v="1"/>
    <n v="0.81"/>
    <n v="0.64"/>
    <n v="0.19"/>
    <n v="0.7"/>
    <n v="0"/>
    <x v="2"/>
    <x v="2"/>
    <x v="1"/>
    <x v="3"/>
    <x v="2"/>
    <x v="1"/>
    <x v="2"/>
  </r>
  <r>
    <s v="/krs/148"/>
    <n v="148"/>
    <s v="01"/>
    <x v="0"/>
    <x v="5"/>
    <x v="1"/>
    <d v="2017-09-14T00:00:00"/>
    <x v="15"/>
    <x v="0"/>
    <m/>
    <n v="254"/>
    <n v="66"/>
    <n v="320"/>
    <n v="0.79"/>
    <n v="16"/>
    <m/>
    <n v="0"/>
    <n v="16"/>
    <n v="4.3"/>
    <n v="1"/>
    <n v="0.2"/>
    <n v="0.79"/>
    <n v="0"/>
    <n v="0"/>
    <n v="0"/>
    <n v="0.21"/>
    <n v="0"/>
    <n v="0"/>
    <n v="0"/>
    <n v="0"/>
    <n v="0"/>
    <n v="0"/>
    <n v="1"/>
    <n v="0.81"/>
    <n v="0"/>
    <x v="1"/>
    <x v="2"/>
    <x v="2"/>
    <x v="1"/>
    <x v="2"/>
    <x v="3"/>
    <x v="2"/>
  </r>
  <r>
    <s v="/krs/149"/>
    <n v="149"/>
    <s v="1"/>
    <x v="0"/>
    <x v="1"/>
    <x v="24"/>
    <d v="2017-09-08T00:00:00"/>
    <x v="11"/>
    <x v="0"/>
    <s v="Входной контроль в  форме теста"/>
    <n v="869"/>
    <n v="111"/>
    <n v="980"/>
    <n v="0.89"/>
    <n v="28"/>
    <m/>
    <n v="27"/>
    <n v="28"/>
    <n v="4.5"/>
    <n v="4.3"/>
    <n v="0.86"/>
    <n v="0.89"/>
    <n v="1"/>
    <n v="1"/>
    <n v="0.96"/>
    <n v="0.11"/>
    <n v="28"/>
    <n v="27"/>
    <n v="4.4000000000000004"/>
    <n v="1"/>
    <n v="0.89"/>
    <n v="0.96"/>
    <n v="0.11"/>
    <n v="0.92"/>
    <n v="0"/>
    <x v="2"/>
    <x v="2"/>
    <x v="1"/>
    <x v="1"/>
    <x v="2"/>
    <x v="3"/>
    <x v="1"/>
  </r>
  <r>
    <s v="/krs/150"/>
    <n v="150"/>
    <s v="01"/>
    <x v="0"/>
    <x v="10"/>
    <x v="25"/>
    <d v="2017-09-06T00:00:00"/>
    <x v="14"/>
    <x v="0"/>
    <s v="входной контроль по результатам 2016-2017 учебного года"/>
    <n v="217"/>
    <n v="179"/>
    <n v="396"/>
    <n v="0.55000000000000004"/>
    <n v="22"/>
    <m/>
    <n v="10"/>
    <n v="22"/>
    <n v="3.2"/>
    <n v="3.5"/>
    <n v="0.69"/>
    <n v="0.55000000000000004"/>
    <n v="0.82"/>
    <n v="0.72"/>
    <n v="0.45"/>
    <n v="0.45"/>
    <n v="22"/>
    <n v="13"/>
    <n v="3.8"/>
    <n v="1"/>
    <n v="0.76"/>
    <n v="0.59"/>
    <n v="0.24"/>
    <n v="0.55000000000000004"/>
    <n v="0"/>
    <x v="1"/>
    <x v="3"/>
    <x v="1"/>
    <x v="2"/>
    <x v="1"/>
    <x v="2"/>
    <x v="2"/>
  </r>
  <r>
    <s v="/krs/151"/>
    <n v="151"/>
    <s v="01"/>
    <x v="0"/>
    <x v="10"/>
    <x v="5"/>
    <d v="2017-09-07T00:00:00"/>
    <x v="14"/>
    <x v="0"/>
    <s v="входной контроль по итогам 2016-2017 учебного года"/>
    <n v="261"/>
    <n v="243"/>
    <n v="504"/>
    <n v="0.52"/>
    <n v="28"/>
    <m/>
    <n v="10"/>
    <n v="28"/>
    <n v="3.1"/>
    <n v="3.1"/>
    <n v="0.63"/>
    <n v="0.52"/>
    <n v="0.71"/>
    <n v="0.73"/>
    <n v="0.36"/>
    <n v="0.48"/>
    <n v="28"/>
    <n v="10"/>
    <n v="3.6"/>
    <n v="1"/>
    <n v="0.71"/>
    <n v="0.36"/>
    <n v="0.28999999999999998"/>
    <n v="0.41"/>
    <n v="0"/>
    <x v="1"/>
    <x v="3"/>
    <x v="1"/>
    <x v="2"/>
    <x v="2"/>
    <x v="2"/>
    <x v="2"/>
  </r>
  <r>
    <s v="/krs/152"/>
    <n v="152"/>
    <s v="1"/>
    <x v="0"/>
    <x v="9"/>
    <x v="1"/>
    <d v="2017-09-12T00:00:00"/>
    <x v="13"/>
    <x v="1"/>
    <m/>
    <n v="353"/>
    <n v="81"/>
    <n v="434"/>
    <n v="0.81"/>
    <n v="14"/>
    <m/>
    <n v="10"/>
    <n v="14"/>
    <n v="4.2"/>
    <n v="3.8"/>
    <n v="0.76"/>
    <n v="0.81"/>
    <n v="1"/>
    <n v="1.05"/>
    <n v="0.71"/>
    <n v="0.19"/>
    <n v="14"/>
    <n v="9"/>
    <n v="3.9"/>
    <n v="1"/>
    <n v="0.77"/>
    <n v="0.64"/>
    <n v="0.23"/>
    <n v="0.81"/>
    <n v="0.98"/>
    <x v="2"/>
    <x v="2"/>
    <x v="1"/>
    <x v="1"/>
    <x v="2"/>
    <x v="3"/>
    <x v="1"/>
  </r>
  <r>
    <s v="/krs/153"/>
    <n v="153"/>
    <s v="1"/>
    <x v="0"/>
    <x v="9"/>
    <x v="15"/>
    <d v="2017-09-11T00:00:00"/>
    <x v="13"/>
    <x v="1"/>
    <m/>
    <n v="437"/>
    <n v="90"/>
    <n v="527"/>
    <n v="0.83"/>
    <n v="17"/>
    <m/>
    <n v="13"/>
    <n v="17"/>
    <n v="4.2"/>
    <n v="4"/>
    <n v="0.8"/>
    <n v="0.83"/>
    <n v="1"/>
    <n v="1.01"/>
    <n v="0.76"/>
    <n v="0.17"/>
    <n v="17"/>
    <n v="11"/>
    <n v="4.0999999999999996"/>
    <n v="1"/>
    <n v="0.82"/>
    <n v="0.65"/>
    <n v="0.18"/>
    <n v="0.84"/>
    <n v="0"/>
    <x v="2"/>
    <x v="2"/>
    <x v="1"/>
    <x v="1"/>
    <x v="1"/>
    <x v="3"/>
    <x v="1"/>
  </r>
  <r>
    <s v="/krs/154"/>
    <n v="154"/>
    <s v="01"/>
    <x v="0"/>
    <x v="10"/>
    <x v="2"/>
    <d v="2017-09-06T00:00:00"/>
    <x v="14"/>
    <x v="0"/>
    <s v="входной контроль по результатам 2016-2017 учебного года"/>
    <n v="258"/>
    <n v="174"/>
    <n v="432"/>
    <n v="0.6"/>
    <n v="24"/>
    <m/>
    <n v="13"/>
    <n v="24"/>
    <n v="3.4"/>
    <n v="3.6"/>
    <n v="0.72"/>
    <n v="0.6"/>
    <n v="0.75"/>
    <n v="0.76"/>
    <n v="0.54"/>
    <n v="0.4"/>
    <n v="24"/>
    <n v="14"/>
    <n v="3.9"/>
    <n v="1"/>
    <n v="0.79"/>
    <n v="0.57999999999999996"/>
    <n v="0.21"/>
    <n v="0.56000000000000005"/>
    <n v="0"/>
    <x v="1"/>
    <x v="1"/>
    <x v="1"/>
    <x v="2"/>
    <x v="2"/>
    <x v="2"/>
    <x v="2"/>
  </r>
  <r>
    <s v="/krs/155"/>
    <n v="155"/>
    <s v="01"/>
    <x v="0"/>
    <x v="7"/>
    <x v="23"/>
    <d v="2017-09-14T00:00:00"/>
    <x v="10"/>
    <x v="0"/>
    <m/>
    <m/>
    <m/>
    <m/>
    <m/>
    <n v="18"/>
    <m/>
    <n v="6"/>
    <n v="16"/>
    <m/>
    <n v="3.1"/>
    <n v="0.69"/>
    <m/>
    <n v="0.69"/>
    <n v="0"/>
    <n v="0.38"/>
    <m/>
    <n v="0"/>
    <n v="0"/>
    <n v="0"/>
    <n v="0"/>
    <n v="0"/>
    <n v="0"/>
    <n v="1"/>
    <m/>
    <n v="0"/>
    <x v="1"/>
    <x v="1"/>
    <x v="3"/>
    <x v="3"/>
    <x v="1"/>
    <x v="1"/>
    <x v="2"/>
  </r>
  <r>
    <s v="/krs/156"/>
    <n v="156"/>
    <s v="01"/>
    <x v="0"/>
    <x v="3"/>
    <x v="23"/>
    <d v="2017-09-11T00:00:00"/>
    <x v="10"/>
    <x v="0"/>
    <m/>
    <n v="229"/>
    <n v="151"/>
    <n v="380"/>
    <n v="0.6"/>
    <n v="19"/>
    <m/>
    <n v="8"/>
    <n v="19"/>
    <n v="3.4"/>
    <n v="3.4"/>
    <n v="0.67"/>
    <n v="0.6"/>
    <n v="0.89"/>
    <n v="0"/>
    <n v="0.42"/>
    <n v="0.4"/>
    <n v="0"/>
    <n v="0"/>
    <n v="0"/>
    <n v="0"/>
    <n v="0"/>
    <n v="0"/>
    <n v="1"/>
    <n v="0.62"/>
    <n v="0"/>
    <x v="2"/>
    <x v="1"/>
    <x v="1"/>
    <x v="1"/>
    <x v="1"/>
    <x v="3"/>
    <x v="2"/>
  </r>
  <r>
    <s v="/krs/157"/>
    <n v="157"/>
    <s v="01"/>
    <x v="0"/>
    <x v="10"/>
    <x v="19"/>
    <d v="2017-09-07T00:00:00"/>
    <x v="14"/>
    <x v="0"/>
    <s v="входной контроль по итогам 2016-2017 учебного года"/>
    <n v="170"/>
    <n v="221"/>
    <n v="391"/>
    <n v="0.43"/>
    <n v="23"/>
    <m/>
    <n v="3"/>
    <n v="23"/>
    <n v="2.7"/>
    <n v="2.7"/>
    <n v="0.54"/>
    <n v="0.43"/>
    <n v="0.56999999999999995"/>
    <n v="0.61"/>
    <n v="0.13"/>
    <n v="0.56999999999999995"/>
    <n v="23"/>
    <n v="6"/>
    <n v="3.5"/>
    <n v="1"/>
    <n v="0.7"/>
    <n v="0.26"/>
    <n v="0.3"/>
    <n v="0.37"/>
    <n v="0"/>
    <x v="1"/>
    <x v="3"/>
    <x v="3"/>
    <x v="2"/>
    <x v="1"/>
    <x v="2"/>
    <x v="2"/>
  </r>
  <r>
    <s v="/krs/158"/>
    <n v="158"/>
    <s v="01"/>
    <x v="0"/>
    <x v="7"/>
    <x v="11"/>
    <d v="2017-09-13T00:00:00"/>
    <x v="10"/>
    <x v="0"/>
    <m/>
    <n v="290"/>
    <n v="116"/>
    <n v="406"/>
    <n v="0.71"/>
    <n v="14"/>
    <m/>
    <n v="8"/>
    <n v="14"/>
    <n v="3.9"/>
    <n v="3.8"/>
    <n v="0.76"/>
    <n v="0.71"/>
    <n v="1"/>
    <n v="0"/>
    <n v="0.56999999999999995"/>
    <n v="0.28999999999999998"/>
    <n v="0"/>
    <n v="0"/>
    <n v="0"/>
    <n v="0"/>
    <n v="0"/>
    <n v="0"/>
    <n v="1"/>
    <n v="0.75"/>
    <n v="0.63"/>
    <x v="2"/>
    <x v="2"/>
    <x v="1"/>
    <x v="1"/>
    <x v="1"/>
    <x v="3"/>
    <x v="2"/>
  </r>
  <r>
    <s v="/krs/159"/>
    <n v="159"/>
    <s v="01"/>
    <x v="0"/>
    <x v="3"/>
    <x v="17"/>
    <d v="2017-09-06T00:00:00"/>
    <x v="14"/>
    <x v="0"/>
    <s v="входной контроль по итогам 2016-2017 учебного года"/>
    <n v="190"/>
    <n v="110"/>
    <n v="300"/>
    <n v="0.63"/>
    <n v="25"/>
    <m/>
    <n v="10"/>
    <n v="25"/>
    <n v="3.5"/>
    <n v="3.4"/>
    <n v="0.69"/>
    <n v="0.63"/>
    <n v="1"/>
    <n v="0.78"/>
    <n v="0.4"/>
    <n v="0.37"/>
    <n v="25"/>
    <n v="18"/>
    <n v="4.0999999999999996"/>
    <n v="1"/>
    <n v="0.81"/>
    <n v="0.72"/>
    <n v="0.19"/>
    <n v="0.62"/>
    <n v="0"/>
    <x v="2"/>
    <x v="1"/>
    <x v="1"/>
    <x v="2"/>
    <x v="1"/>
    <x v="2"/>
    <x v="2"/>
  </r>
  <r>
    <s v="/krs/160"/>
    <n v="160"/>
    <s v="1"/>
    <x v="0"/>
    <x v="1"/>
    <x v="25"/>
    <d v="2017-09-07T00:00:00"/>
    <x v="16"/>
    <x v="0"/>
    <s v="тест"/>
    <n v="265"/>
    <n v="126"/>
    <n v="391"/>
    <n v="0.68"/>
    <n v="23"/>
    <m/>
    <n v="16"/>
    <n v="23"/>
    <n v="3.7"/>
    <n v="3.7"/>
    <n v="0.73"/>
    <n v="0.68"/>
    <n v="0.96"/>
    <n v="0"/>
    <n v="0.7"/>
    <n v="0.32"/>
    <n v="0"/>
    <n v="0"/>
    <n v="0"/>
    <n v="0"/>
    <n v="0"/>
    <n v="0"/>
    <n v="1"/>
    <n v="0.68"/>
    <n v="0.74"/>
    <x v="2"/>
    <x v="1"/>
    <x v="1"/>
    <x v="1"/>
    <x v="1"/>
    <x v="3"/>
    <x v="2"/>
  </r>
  <r>
    <s v="/krs/161"/>
    <n v="161"/>
    <s v="1"/>
    <x v="0"/>
    <x v="1"/>
    <x v="9"/>
    <d v="2017-09-06T00:00:00"/>
    <x v="16"/>
    <x v="0"/>
    <s v="тест"/>
    <n v="418"/>
    <n v="191"/>
    <n v="609"/>
    <n v="0.69"/>
    <n v="21"/>
    <m/>
    <n v="17"/>
    <n v="21"/>
    <n v="3.7"/>
    <n v="3.8"/>
    <n v="0.75"/>
    <n v="0.69"/>
    <n v="0.95"/>
    <n v="0"/>
    <n v="0.81"/>
    <n v="0.31"/>
    <n v="0"/>
    <n v="0"/>
    <n v="0"/>
    <n v="0"/>
    <n v="0"/>
    <n v="0"/>
    <n v="1"/>
    <n v="0.69"/>
    <n v="0"/>
    <x v="2"/>
    <x v="1"/>
    <x v="1"/>
    <x v="1"/>
    <x v="1"/>
    <x v="3"/>
    <x v="2"/>
  </r>
  <r>
    <s v="/krs/162"/>
    <n v="162"/>
    <s v="01"/>
    <x v="0"/>
    <x v="10"/>
    <x v="7"/>
    <d v="2017-09-08T00:00:00"/>
    <x v="14"/>
    <x v="0"/>
    <s v="контрольная работа  за период 2016-2017 учебный год"/>
    <n v="341"/>
    <n v="163"/>
    <n v="504"/>
    <n v="0.68"/>
    <n v="24"/>
    <m/>
    <n v="15"/>
    <n v="24"/>
    <n v="3.7"/>
    <n v="3.6"/>
    <n v="0.72"/>
    <n v="0.68"/>
    <n v="0.96"/>
    <n v="0.85"/>
    <n v="0.63"/>
    <n v="0.32"/>
    <n v="24"/>
    <n v="15"/>
    <n v="4"/>
    <n v="1"/>
    <n v="0.8"/>
    <n v="0.63"/>
    <n v="0.2"/>
    <n v="0.74"/>
    <n v="0"/>
    <x v="2"/>
    <x v="1"/>
    <x v="1"/>
    <x v="2"/>
    <x v="2"/>
    <x v="2"/>
    <x v="2"/>
  </r>
  <r>
    <s v="/krs/163"/>
    <n v="163"/>
    <s v="01 "/>
    <x v="0"/>
    <x v="10"/>
    <x v="8"/>
    <d v="2017-09-08T00:00:00"/>
    <x v="14"/>
    <x v="0"/>
    <s v="контрольная работа за период 2016-2017 учебного года"/>
    <n v="293"/>
    <n v="64"/>
    <n v="357"/>
    <n v="0.82"/>
    <n v="17"/>
    <m/>
    <n v="13"/>
    <n v="17"/>
    <n v="4.3"/>
    <n v="4.0999999999999996"/>
    <n v="0.82"/>
    <n v="0.82"/>
    <n v="0.88"/>
    <n v="1.01"/>
    <n v="0.76"/>
    <n v="0.18"/>
    <n v="17"/>
    <n v="13"/>
    <n v="4"/>
    <n v="1"/>
    <n v="0.81"/>
    <n v="0.76"/>
    <n v="0.19"/>
    <n v="0.87"/>
    <n v="0"/>
    <x v="2"/>
    <x v="2"/>
    <x v="1"/>
    <x v="1"/>
    <x v="2"/>
    <x v="3"/>
    <x v="1"/>
  </r>
  <r>
    <s v="/krs/164"/>
    <n v="164"/>
    <s v="1"/>
    <x v="1"/>
    <x v="11"/>
    <x v="25"/>
    <d v="2017-09-16T00:00:00"/>
    <x v="17"/>
    <x v="0"/>
    <s v="Входной контроль"/>
    <n v="234"/>
    <n v="126"/>
    <n v="360"/>
    <n v="0.65"/>
    <n v="10"/>
    <m/>
    <n v="5"/>
    <n v="10"/>
    <n v="3.6"/>
    <n v="3.4"/>
    <n v="0.68"/>
    <n v="0.65"/>
    <n v="0.9"/>
    <n v="0"/>
    <n v="0.5"/>
    <n v="0.35"/>
    <n v="10"/>
    <n v="9"/>
    <n v="3.9"/>
    <n v="1"/>
    <n v="0.78"/>
    <n v="0.9"/>
    <n v="0.22"/>
    <n v="0.65"/>
    <n v="0"/>
    <x v="2"/>
    <x v="1"/>
    <x v="1"/>
    <x v="1"/>
    <x v="1"/>
    <x v="3"/>
    <x v="2"/>
  </r>
  <r>
    <s v="/krs/166"/>
    <n v="166"/>
    <s v="01"/>
    <x v="1"/>
    <x v="12"/>
    <x v="3"/>
    <d v="2017-09-27T00:00:00"/>
    <x v="1"/>
    <x v="1"/>
    <s v="Сочинение на основе литературного текста"/>
    <n v="419"/>
    <n v="175"/>
    <n v="594"/>
    <n v="0.71"/>
    <n v="22"/>
    <m/>
    <n v="9"/>
    <n v="22"/>
    <n v="3.3"/>
    <n v="3.4"/>
    <n v="0.68"/>
    <n v="0.71"/>
    <n v="0.95"/>
    <n v="1"/>
    <n v="0.41"/>
    <n v="0.28999999999999998"/>
    <n v="22"/>
    <n v="8"/>
    <n v="3.6"/>
    <n v="0.86"/>
    <n v="0.71"/>
    <n v="0.36"/>
    <n v="0.28999999999999998"/>
    <n v="0.85"/>
    <n v="0.72"/>
    <x v="2"/>
    <x v="2"/>
    <x v="1"/>
    <x v="1"/>
    <x v="2"/>
    <x v="3"/>
    <x v="1"/>
  </r>
  <r>
    <s v="/krs/167"/>
    <n v="167"/>
    <s v="1"/>
    <x v="0"/>
    <x v="1"/>
    <x v="26"/>
    <d v="2017-09-04T00:00:00"/>
    <x v="11"/>
    <x v="0"/>
    <s v="Входная контрольная работа в форме ЕГЭ"/>
    <m/>
    <m/>
    <m/>
    <m/>
    <m/>
    <m/>
    <m/>
    <m/>
    <m/>
    <m/>
    <m/>
    <m/>
    <m/>
    <m/>
    <m/>
    <m/>
    <m/>
    <m/>
    <m/>
    <m/>
    <m/>
    <m/>
    <m/>
    <m/>
    <m/>
    <x v="0"/>
    <x v="0"/>
    <x v="0"/>
    <x v="0"/>
    <x v="0"/>
    <x v="0"/>
    <x v="0"/>
  </r>
  <r>
    <s v="/krs/168"/>
    <n v="168"/>
    <s v="1"/>
    <x v="0"/>
    <x v="1"/>
    <x v="27"/>
    <d v="2017-09-04T00:00:00"/>
    <x v="11"/>
    <x v="0"/>
    <s v="Входной контроль в форме ЕГЭ"/>
    <n v="412"/>
    <n v="113"/>
    <n v="525"/>
    <n v="0.78"/>
    <n v="25"/>
    <m/>
    <n v="23"/>
    <n v="25"/>
    <n v="4.0999999999999996"/>
    <n v="4.0999999999999996"/>
    <n v="0.82"/>
    <n v="0.78"/>
    <n v="1"/>
    <n v="0.95"/>
    <n v="0.92"/>
    <n v="0.22"/>
    <n v="25"/>
    <n v="22"/>
    <n v="4.0999999999999996"/>
    <n v="1"/>
    <n v="0.82"/>
    <n v="0.88"/>
    <n v="0.18"/>
    <n v="0.78"/>
    <n v="0"/>
    <x v="2"/>
    <x v="2"/>
    <x v="1"/>
    <x v="1"/>
    <x v="2"/>
    <x v="3"/>
    <x v="1"/>
  </r>
  <r>
    <s v="/krs/169"/>
    <n v="169"/>
    <s v="01"/>
    <x v="0"/>
    <x v="5"/>
    <x v="7"/>
    <d v="2017-09-07T00:00:00"/>
    <x v="15"/>
    <x v="0"/>
    <m/>
    <m/>
    <m/>
    <m/>
    <m/>
    <m/>
    <m/>
    <m/>
    <m/>
    <m/>
    <m/>
    <m/>
    <m/>
    <m/>
    <m/>
    <m/>
    <m/>
    <m/>
    <m/>
    <m/>
    <m/>
    <m/>
    <m/>
    <m/>
    <m/>
    <m/>
    <x v="0"/>
    <x v="0"/>
    <x v="0"/>
    <x v="0"/>
    <x v="0"/>
    <x v="0"/>
    <x v="0"/>
  </r>
  <r>
    <s v="/krs/170"/>
    <n v="170"/>
    <s v="1"/>
    <x v="0"/>
    <x v="12"/>
    <x v="28"/>
    <d v="2017-09-08T00:00:00"/>
    <x v="9"/>
    <x v="0"/>
    <s v="тест"/>
    <n v="546"/>
    <n v="84"/>
    <n v="630"/>
    <n v="0.87"/>
    <n v="42"/>
    <m/>
    <n v="41"/>
    <n v="42"/>
    <n v="4.5"/>
    <n v="4.4000000000000004"/>
    <n v="0.89"/>
    <n v="0.87"/>
    <n v="1"/>
    <n v="1"/>
    <n v="0.98"/>
    <n v="0.13"/>
    <n v="42"/>
    <n v="41"/>
    <n v="4.4000000000000004"/>
    <n v="1"/>
    <n v="0.87"/>
    <n v="0.98"/>
    <n v="0.13"/>
    <n v="0.87"/>
    <n v="0"/>
    <x v="2"/>
    <x v="2"/>
    <x v="1"/>
    <x v="1"/>
    <x v="2"/>
    <x v="3"/>
    <x v="1"/>
  </r>
  <r>
    <s v="/krs/171"/>
    <n v="171"/>
    <s v="входной "/>
    <x v="0"/>
    <x v="13"/>
    <x v="7"/>
    <d v="2017-09-08T00:00:00"/>
    <x v="18"/>
    <x v="1"/>
    <s v="_x000a__x000a__x000a__x000a_"/>
    <n v="385"/>
    <n v="135"/>
    <n v="520"/>
    <n v="0.74"/>
    <n v="13"/>
    <m/>
    <n v="9"/>
    <n v="13"/>
    <n v="4"/>
    <n v="4"/>
    <n v="0.8"/>
    <n v="0.74"/>
    <n v="1"/>
    <n v="0.99"/>
    <n v="0.69"/>
    <n v="0.26"/>
    <n v="13"/>
    <n v="7"/>
    <n v="3.7"/>
    <n v="0.77"/>
    <n v="0.75"/>
    <n v="0.54"/>
    <n v="0.25"/>
    <n v="0.75"/>
    <n v="0.72"/>
    <x v="2"/>
    <x v="2"/>
    <x v="1"/>
    <x v="1"/>
    <x v="1"/>
    <x v="3"/>
    <x v="1"/>
  </r>
  <r>
    <s v="/krs/173"/>
    <n v="173"/>
    <s v="входной"/>
    <x v="0"/>
    <x v="13"/>
    <x v="8"/>
    <d v="2017-09-11T00:00:00"/>
    <x v="18"/>
    <x v="1"/>
    <m/>
    <n v="480"/>
    <n v="80"/>
    <n v="560"/>
    <n v="0.86"/>
    <n v="14"/>
    <m/>
    <n v="14"/>
    <n v="14"/>
    <n v="4.4000000000000004"/>
    <n v="4.5999999999999996"/>
    <n v="0.91"/>
    <n v="0.86"/>
    <n v="1"/>
    <n v="0"/>
    <n v="1"/>
    <n v="0.14000000000000001"/>
    <n v="14"/>
    <n v="11"/>
    <n v="4.3"/>
    <n v="1"/>
    <n v="0.86"/>
    <n v="0.79"/>
    <n v="0.14000000000000001"/>
    <n v="0.85"/>
    <n v="0.88"/>
    <x v="2"/>
    <x v="2"/>
    <x v="1"/>
    <x v="1"/>
    <x v="1"/>
    <x v="3"/>
    <x v="2"/>
  </r>
  <r>
    <s v="/krs/174"/>
    <n v="174"/>
    <s v="входной"/>
    <x v="0"/>
    <x v="13"/>
    <x v="9"/>
    <d v="2017-09-07T00:00:00"/>
    <x v="18"/>
    <x v="1"/>
    <m/>
    <n v="417"/>
    <n v="103"/>
    <n v="520"/>
    <n v="0.8"/>
    <n v="13"/>
    <m/>
    <n v="9"/>
    <n v="13"/>
    <n v="4.2"/>
    <n v="4.2"/>
    <n v="0.83"/>
    <n v="0.8"/>
    <n v="1"/>
    <n v="0.96"/>
    <n v="0.69"/>
    <n v="0.2"/>
    <n v="13"/>
    <n v="10"/>
    <n v="4.2"/>
    <n v="1"/>
    <n v="0.83"/>
    <n v="0.77"/>
    <n v="0.17"/>
    <n v="0.79"/>
    <n v="0.83"/>
    <x v="2"/>
    <x v="2"/>
    <x v="1"/>
    <x v="1"/>
    <x v="2"/>
    <x v="3"/>
    <x v="1"/>
  </r>
  <r>
    <s v="/krs/175"/>
    <n v="175"/>
    <s v="входной"/>
    <x v="0"/>
    <x v="13"/>
    <x v="4"/>
    <d v="2017-09-07T00:00:00"/>
    <x v="18"/>
    <x v="1"/>
    <m/>
    <n v="468"/>
    <n v="172"/>
    <n v="640"/>
    <n v="0.73"/>
    <n v="16"/>
    <m/>
    <n v="12"/>
    <n v="16"/>
    <n v="3.9"/>
    <n v="3.9"/>
    <n v="0.78"/>
    <n v="0.73"/>
    <n v="1"/>
    <n v="0.96"/>
    <n v="0.75"/>
    <n v="0.27"/>
    <n v="16"/>
    <n v="10"/>
    <n v="3.8"/>
    <n v="0.94"/>
    <n v="0.76"/>
    <n v="0.63"/>
    <n v="0.24"/>
    <n v="0.74"/>
    <n v="0.69"/>
    <x v="2"/>
    <x v="2"/>
    <x v="1"/>
    <x v="1"/>
    <x v="1"/>
    <x v="3"/>
    <x v="1"/>
  </r>
  <r>
    <s v="/krs/176"/>
    <n v="176"/>
    <s v="входной"/>
    <x v="0"/>
    <x v="13"/>
    <x v="10"/>
    <d v="2017-09-08T00:00:00"/>
    <x v="18"/>
    <x v="1"/>
    <m/>
    <n v="390"/>
    <n v="90"/>
    <n v="480"/>
    <n v="0.81"/>
    <n v="12"/>
    <m/>
    <n v="12"/>
    <n v="12"/>
    <n v="4.3"/>
    <n v="4.3"/>
    <n v="0.85"/>
    <n v="0.81"/>
    <n v="1"/>
    <n v="0.95"/>
    <n v="1"/>
    <n v="0.19"/>
    <n v="12"/>
    <n v="12"/>
    <n v="4.3"/>
    <n v="1"/>
    <n v="0.85"/>
    <n v="1"/>
    <n v="0.15"/>
    <n v="0.81"/>
    <n v="0.82"/>
    <x v="2"/>
    <x v="2"/>
    <x v="1"/>
    <x v="1"/>
    <x v="2"/>
    <x v="3"/>
    <x v="1"/>
  </r>
  <r>
    <s v="/krs/177"/>
    <n v="177"/>
    <s v="1"/>
    <x v="0"/>
    <x v="1"/>
    <x v="29"/>
    <d v="2017-09-12T00:00:00"/>
    <x v="16"/>
    <x v="0"/>
    <s v="Муниципальная стартовая диагностика по русскому языку для обучающихся 5-х классов"/>
    <n v="583"/>
    <n v="192"/>
    <n v="775"/>
    <n v="0.75"/>
    <n v="25"/>
    <m/>
    <n v="22"/>
    <n v="25"/>
    <n v="4"/>
    <n v="4"/>
    <n v="0.8"/>
    <n v="0.75"/>
    <n v="1"/>
    <n v="0"/>
    <n v="0.88"/>
    <n v="0.25"/>
    <n v="0"/>
    <n v="0"/>
    <n v="0"/>
    <n v="0"/>
    <n v="0"/>
    <n v="0"/>
    <n v="1"/>
    <n v="0.78"/>
    <n v="0"/>
    <x v="2"/>
    <x v="2"/>
    <x v="1"/>
    <x v="1"/>
    <x v="1"/>
    <x v="3"/>
    <x v="2"/>
  </r>
  <r>
    <s v="/krs/178"/>
    <n v="178"/>
    <s v="1"/>
    <x v="1"/>
    <x v="5"/>
    <x v="21"/>
    <d v="2017-09-28T12:18:28"/>
    <x v="19"/>
    <x v="0"/>
    <m/>
    <n v="130"/>
    <n v="26"/>
    <n v="156"/>
    <n v="0.83"/>
    <n v="13"/>
    <m/>
    <n v="0"/>
    <n v="13"/>
    <n v="4.3"/>
    <n v="1"/>
    <n v="0.2"/>
    <n v="0.83"/>
    <n v="0"/>
    <n v="1.17"/>
    <n v="0"/>
    <n v="0.17"/>
    <n v="13"/>
    <n v="5"/>
    <n v="3.5"/>
    <n v="1"/>
    <n v="0.71"/>
    <n v="0.38"/>
    <n v="0.28999999999999998"/>
    <n v="0.87"/>
    <n v="0"/>
    <x v="1"/>
    <x v="2"/>
    <x v="2"/>
    <x v="1"/>
    <x v="1"/>
    <x v="3"/>
    <x v="1"/>
  </r>
  <r>
    <s v="/krs/179"/>
    <n v="179"/>
    <s v="1"/>
    <x v="0"/>
    <x v="1"/>
    <x v="4"/>
    <d v="2017-09-07T00:00:00"/>
    <x v="9"/>
    <x v="0"/>
    <s v="тест"/>
    <n v="704"/>
    <n v="136"/>
    <n v="840"/>
    <n v="0.84"/>
    <n v="28"/>
    <m/>
    <n v="26"/>
    <n v="28"/>
    <n v="4.3"/>
    <n v="4.0999999999999996"/>
    <n v="0.81"/>
    <n v="0.84"/>
    <n v="1"/>
    <n v="1.04"/>
    <n v="0.93"/>
    <n v="0.16"/>
    <n v="28"/>
    <n v="26"/>
    <n v="4"/>
    <n v="1"/>
    <n v="0.81"/>
    <n v="0.93"/>
    <n v="0.19"/>
    <n v="0.84"/>
    <n v="0.82"/>
    <x v="2"/>
    <x v="2"/>
    <x v="1"/>
    <x v="1"/>
    <x v="2"/>
    <x v="3"/>
    <x v="1"/>
  </r>
  <r>
    <s v="/krs/182"/>
    <n v="182"/>
    <s v="1"/>
    <x v="0"/>
    <x v="12"/>
    <x v="17"/>
    <d v="2017-09-14T00:00:00"/>
    <x v="9"/>
    <x v="0"/>
    <s v="тест"/>
    <n v="335"/>
    <n v="29"/>
    <n v="364"/>
    <n v="0.92"/>
    <n v="26"/>
    <m/>
    <n v="26"/>
    <n v="26"/>
    <n v="4.7"/>
    <n v="4.5999999999999996"/>
    <n v="0.92"/>
    <n v="0.92"/>
    <n v="1"/>
    <n v="1"/>
    <n v="1"/>
    <n v="0.08"/>
    <n v="26"/>
    <n v="26"/>
    <n v="4.5999999999999996"/>
    <n v="1"/>
    <n v="0.92"/>
    <n v="1"/>
    <n v="0.08"/>
    <n v="0.93"/>
    <n v="0.9"/>
    <x v="2"/>
    <x v="2"/>
    <x v="1"/>
    <x v="1"/>
    <x v="2"/>
    <x v="3"/>
    <x v="1"/>
  </r>
  <r>
    <s v="/krs/183"/>
    <n v="183"/>
    <s v="входной"/>
    <x v="0"/>
    <x v="13"/>
    <x v="18"/>
    <d v="2017-09-16T00:00:00"/>
    <x v="18"/>
    <x v="1"/>
    <m/>
    <n v="1493"/>
    <n v="347"/>
    <n v="1840"/>
    <n v="0.81"/>
    <n v="46"/>
    <m/>
    <n v="38"/>
    <n v="46"/>
    <n v="4.2"/>
    <n v="4.3"/>
    <n v="0.86"/>
    <n v="0.81"/>
    <n v="1"/>
    <n v="0.98"/>
    <n v="0.83"/>
    <n v="0.19"/>
    <n v="36"/>
    <n v="29"/>
    <n v="4.0999999999999996"/>
    <n v="0.97"/>
    <n v="0.83"/>
    <n v="0.81"/>
    <n v="0.17"/>
    <n v="0.82"/>
    <n v="0.79"/>
    <x v="2"/>
    <x v="2"/>
    <x v="1"/>
    <x v="1"/>
    <x v="2"/>
    <x v="3"/>
    <x v="1"/>
  </r>
  <r>
    <s v="/krs/186"/>
    <n v="186"/>
    <s v="00"/>
    <x v="0"/>
    <x v="8"/>
    <x v="30"/>
    <d v="2017-09-11T00:00:00"/>
    <x v="12"/>
    <x v="1"/>
    <m/>
    <n v="128"/>
    <n v="162"/>
    <n v="290"/>
    <n v="0.44"/>
    <n v="10"/>
    <m/>
    <n v="1"/>
    <n v="10"/>
    <n v="2.4"/>
    <n v="2.4"/>
    <n v="0.48"/>
    <n v="0.44"/>
    <n v="0.3"/>
    <n v="0.68"/>
    <n v="0.1"/>
    <n v="0.56000000000000005"/>
    <n v="10"/>
    <n v="4"/>
    <n v="3.3"/>
    <n v="0.7"/>
    <n v="0.65"/>
    <n v="0.4"/>
    <n v="0.35"/>
    <n v="0.42"/>
    <n v="0"/>
    <x v="2"/>
    <x v="3"/>
    <x v="2"/>
    <x v="2"/>
    <x v="1"/>
    <x v="2"/>
    <x v="2"/>
  </r>
  <r>
    <s v="/krs/187"/>
    <n v="187"/>
    <s v="1"/>
    <x v="0"/>
    <x v="1"/>
    <x v="31"/>
    <d v="2017-09-19T00:00:00"/>
    <x v="9"/>
    <x v="0"/>
    <s v="тест"/>
    <n v="362"/>
    <n v="58"/>
    <n v="420"/>
    <n v="0.86"/>
    <n v="20"/>
    <m/>
    <n v="17"/>
    <n v="20"/>
    <n v="4.5"/>
    <n v="3.9"/>
    <n v="0.78"/>
    <n v="0.86"/>
    <n v="0.85"/>
    <n v="0.97"/>
    <n v="0.85"/>
    <n v="0.14000000000000001"/>
    <n v="19"/>
    <n v="19"/>
    <n v="4.5"/>
    <n v="1"/>
    <n v="0.89"/>
    <n v="1"/>
    <n v="0.11"/>
    <n v="0.86"/>
    <n v="0"/>
    <x v="2"/>
    <x v="2"/>
    <x v="1"/>
    <x v="1"/>
    <x v="1"/>
    <x v="3"/>
    <x v="1"/>
  </r>
  <r>
    <s v="/krs/188"/>
    <n v="188"/>
    <s v="02"/>
    <x v="1"/>
    <x v="1"/>
    <x v="3"/>
    <d v="2017-09-28T00:00:00"/>
    <x v="1"/>
    <x v="1"/>
    <s v="Диктант с грамматическим заданием"/>
    <n v="219"/>
    <n v="155"/>
    <n v="374"/>
    <n v="0.59"/>
    <n v="22"/>
    <m/>
    <n v="12"/>
    <n v="21"/>
    <n v="3"/>
    <n v="3.4"/>
    <n v="0.7"/>
    <n v="0.59"/>
    <n v="0.86"/>
    <n v="0.83"/>
    <n v="0.56999999999999995"/>
    <n v="0.41"/>
    <n v="21"/>
    <n v="9"/>
    <n v="3.5"/>
    <n v="0.9"/>
    <n v="0.71"/>
    <n v="0.43"/>
    <n v="0.28999999999999998"/>
    <n v="0.55000000000000004"/>
    <n v="0"/>
    <x v="1"/>
    <x v="3"/>
    <x v="1"/>
    <x v="2"/>
    <x v="1"/>
    <x v="2"/>
    <x v="2"/>
  </r>
  <r>
    <s v="/krs/189"/>
    <n v="189"/>
    <s v="01. "/>
    <x v="0"/>
    <x v="5"/>
    <x v="9"/>
    <d v="2017-09-06T00:00:00"/>
    <x v="20"/>
    <x v="0"/>
    <s v="Входной контроль в виде теста по образцу ОГЭ."/>
    <m/>
    <m/>
    <m/>
    <m/>
    <m/>
    <m/>
    <m/>
    <m/>
    <m/>
    <m/>
    <m/>
    <m/>
    <m/>
    <m/>
    <m/>
    <m/>
    <m/>
    <m/>
    <m/>
    <m/>
    <m/>
    <m/>
    <m/>
    <m/>
    <m/>
    <x v="0"/>
    <x v="0"/>
    <x v="0"/>
    <x v="0"/>
    <x v="0"/>
    <x v="0"/>
    <x v="0"/>
  </r>
  <r>
    <s v="/krs/190"/>
    <n v="190"/>
    <s v="01."/>
    <x v="0"/>
    <x v="5"/>
    <x v="32"/>
    <d v="2017-09-06T00:00:00"/>
    <x v="20"/>
    <x v="1"/>
    <s v="Тест на проверку остаточных данных в форме ОГЭ."/>
    <n v="1143"/>
    <n v="489"/>
    <n v="1632"/>
    <n v="0.7"/>
    <n v="32"/>
    <m/>
    <n v="20"/>
    <n v="32"/>
    <n v="3.8"/>
    <n v="3.6"/>
    <n v="0.73"/>
    <n v="0.7"/>
    <n v="0.91"/>
    <n v="0.93"/>
    <n v="0.63"/>
    <n v="0.3"/>
    <n v="32"/>
    <n v="14"/>
    <n v="3.7"/>
    <n v="0.88"/>
    <n v="0.75"/>
    <n v="0.44"/>
    <n v="0.25"/>
    <n v="0.79"/>
    <n v="0"/>
    <x v="2"/>
    <x v="2"/>
    <x v="1"/>
    <x v="1"/>
    <x v="1"/>
    <x v="1"/>
    <x v="1"/>
  </r>
  <r>
    <s v="/krs/192"/>
    <n v="192"/>
    <s v="01."/>
    <x v="0"/>
    <x v="5"/>
    <x v="5"/>
    <d v="2017-09-07T00:00:00"/>
    <x v="20"/>
    <x v="0"/>
    <s v="Проверка остаточных лексико-грамматических навыков в форме теста."/>
    <n v="256"/>
    <n v="136"/>
    <n v="392"/>
    <n v="0.65"/>
    <n v="14"/>
    <m/>
    <n v="7"/>
    <n v="14"/>
    <n v="3.6"/>
    <n v="3.5"/>
    <n v="0.7"/>
    <n v="0.65"/>
    <n v="0.86"/>
    <n v="0.86"/>
    <n v="0.5"/>
    <n v="0.35"/>
    <n v="14"/>
    <n v="8"/>
    <n v="3.8"/>
    <n v="0.86"/>
    <n v="0.76"/>
    <n v="0.56999999999999995"/>
    <n v="0.24"/>
    <n v="0.66"/>
    <n v="0"/>
    <x v="2"/>
    <x v="1"/>
    <x v="1"/>
    <x v="2"/>
    <x v="2"/>
    <x v="2"/>
    <x v="2"/>
  </r>
  <r>
    <s v="/krs/194"/>
    <n v="194"/>
    <s v="01."/>
    <x v="0"/>
    <x v="5"/>
    <x v="33"/>
    <d v="2017-09-07T00:00:00"/>
    <x v="20"/>
    <x v="0"/>
    <s v="Проверка остаточных знаний за 6 класс в формате ОГЭ."/>
    <n v="588"/>
    <n v="294"/>
    <n v="882"/>
    <n v="0.67"/>
    <n v="42"/>
    <m/>
    <n v="28"/>
    <n v="42"/>
    <n v="3.7"/>
    <n v="3.7"/>
    <n v="0.74"/>
    <n v="0.67"/>
    <n v="1"/>
    <n v="0.97"/>
    <n v="0.67"/>
    <n v="0.33"/>
    <n v="42"/>
    <n v="10"/>
    <n v="3.5"/>
    <n v="0.81"/>
    <n v="0.69"/>
    <n v="0.24"/>
    <n v="0.31"/>
    <n v="0.71"/>
    <n v="0"/>
    <x v="2"/>
    <x v="1"/>
    <x v="1"/>
    <x v="1"/>
    <x v="1"/>
    <x v="3"/>
    <x v="1"/>
  </r>
  <r>
    <s v="/krs/195"/>
    <n v="195"/>
    <s v="1"/>
    <x v="0"/>
    <x v="3"/>
    <x v="11"/>
    <d v="2017-09-05T00:00:00"/>
    <x v="21"/>
    <x v="0"/>
    <m/>
    <n v="321"/>
    <n v="99"/>
    <n v="420"/>
    <n v="0.76"/>
    <n v="14"/>
    <m/>
    <n v="13"/>
    <n v="14"/>
    <n v="4.0999999999999996"/>
    <n v="4.0999999999999996"/>
    <n v="0.81"/>
    <n v="0.76"/>
    <n v="1"/>
    <n v="1"/>
    <n v="0.93"/>
    <n v="0.24"/>
    <n v="14"/>
    <n v="6"/>
    <n v="3.8"/>
    <n v="1"/>
    <n v="0.76"/>
    <n v="0.43"/>
    <n v="0.24"/>
    <n v="0.78"/>
    <n v="0.72"/>
    <x v="2"/>
    <x v="2"/>
    <x v="1"/>
    <x v="1"/>
    <x v="1"/>
    <x v="3"/>
    <x v="1"/>
  </r>
  <r>
    <s v="/krs/197"/>
    <n v="197"/>
    <s v="01"/>
    <x v="0"/>
    <x v="10"/>
    <x v="9"/>
    <d v="2017-09-08T00:00:00"/>
    <x v="14"/>
    <x v="0"/>
    <s v="контрольная работа по итогам 2016-2017 учебного года"/>
    <n v="353"/>
    <n v="87"/>
    <n v="440"/>
    <n v="0.8"/>
    <n v="20"/>
    <m/>
    <n v="15"/>
    <n v="20"/>
    <n v="4.2"/>
    <n v="4"/>
    <n v="0.8"/>
    <n v="0.8"/>
    <n v="1"/>
    <n v="0.98"/>
    <n v="0.75"/>
    <n v="0.2"/>
    <n v="20"/>
    <n v="16"/>
    <n v="4.0999999999999996"/>
    <n v="1"/>
    <n v="0.82"/>
    <n v="0.8"/>
    <n v="0.18"/>
    <n v="0.82"/>
    <n v="0"/>
    <x v="2"/>
    <x v="2"/>
    <x v="1"/>
    <x v="1"/>
    <x v="2"/>
    <x v="3"/>
    <x v="1"/>
  </r>
  <r>
    <s v="/krs/199"/>
    <n v="199"/>
    <s v="01"/>
    <x v="0"/>
    <x v="10"/>
    <x v="10"/>
    <d v="2017-09-08T00:00:00"/>
    <x v="14"/>
    <x v="0"/>
    <s v="контрольная работа по итогам 2016-2017 учебного года"/>
    <n v="318"/>
    <n v="81"/>
    <n v="399"/>
    <n v="0.8"/>
    <n v="19"/>
    <m/>
    <n v="14"/>
    <n v="19"/>
    <n v="4.2"/>
    <n v="4.0999999999999996"/>
    <n v="0.82"/>
    <n v="0.8"/>
    <n v="0.95"/>
    <n v="1.03"/>
    <n v="0.74"/>
    <n v="0.2"/>
    <n v="19"/>
    <n v="11"/>
    <n v="3.9"/>
    <n v="1"/>
    <n v="0.78"/>
    <n v="0.57999999999999996"/>
    <n v="0.22"/>
    <n v="0.8"/>
    <n v="0"/>
    <x v="2"/>
    <x v="2"/>
    <x v="1"/>
    <x v="1"/>
    <x v="1"/>
    <x v="3"/>
    <x v="1"/>
  </r>
  <r>
    <s v="/krs/201"/>
    <n v="201"/>
    <s v="01"/>
    <x v="0"/>
    <x v="10"/>
    <x v="4"/>
    <d v="2017-10-07T00:00:00"/>
    <x v="14"/>
    <x v="0"/>
    <s v="контрольная работа по итогам 2016-2017 учебного года"/>
    <n v="469"/>
    <n v="119"/>
    <n v="588"/>
    <n v="0.8"/>
    <n v="28"/>
    <m/>
    <n v="23"/>
    <n v="28"/>
    <n v="4.2"/>
    <n v="4.0999999999999996"/>
    <n v="0.81"/>
    <n v="0.8"/>
    <n v="0.96"/>
    <n v="1.04"/>
    <n v="0.82"/>
    <n v="0.2"/>
    <n v="28"/>
    <n v="21"/>
    <n v="3.9"/>
    <n v="1"/>
    <n v="0.77"/>
    <n v="0.75"/>
    <n v="0.23"/>
    <n v="0.84"/>
    <n v="0"/>
    <x v="2"/>
    <x v="2"/>
    <x v="1"/>
    <x v="1"/>
    <x v="2"/>
    <x v="3"/>
    <x v="1"/>
  </r>
  <r>
    <s v="/krs/212"/>
    <n v="212"/>
    <s v="1"/>
    <x v="0"/>
    <x v="1"/>
    <x v="16"/>
    <d v="2017-09-12T00:00:00"/>
    <x v="16"/>
    <x v="0"/>
    <s v="Муниципальная диагностическая работа "/>
    <n v="517"/>
    <n v="258"/>
    <n v="775"/>
    <n v="0.67"/>
    <n v="25"/>
    <m/>
    <n v="17"/>
    <n v="25"/>
    <n v="3.7"/>
    <n v="3.7"/>
    <n v="0.74"/>
    <n v="0.67"/>
    <n v="0.96"/>
    <n v="0"/>
    <n v="0.68"/>
    <n v="0.33"/>
    <n v="0"/>
    <n v="0"/>
    <n v="0"/>
    <n v="0"/>
    <n v="0"/>
    <n v="0"/>
    <n v="1"/>
    <n v="0.66"/>
    <n v="0.8"/>
    <x v="2"/>
    <x v="1"/>
    <x v="1"/>
    <x v="1"/>
    <x v="1"/>
    <x v="3"/>
    <x v="2"/>
  </r>
  <r>
    <s v="/krs/215"/>
    <n v="215"/>
    <s v="1"/>
    <x v="0"/>
    <x v="3"/>
    <x v="15"/>
    <d v="2017-09-06T00:00:00"/>
    <x v="21"/>
    <x v="0"/>
    <m/>
    <n v="816"/>
    <n v="305"/>
    <n v="1121"/>
    <n v="0.73"/>
    <n v="19"/>
    <m/>
    <n v="14"/>
    <n v="19"/>
    <n v="3.9"/>
    <n v="3.7"/>
    <n v="0.75"/>
    <n v="0.73"/>
    <n v="0.79"/>
    <n v="0.95"/>
    <n v="0.74"/>
    <n v="0.27"/>
    <n v="19"/>
    <n v="13"/>
    <n v="3.9"/>
    <n v="0.95"/>
    <n v="0.77"/>
    <n v="0.68"/>
    <n v="0.23"/>
    <n v="0.86"/>
    <n v="0.74"/>
    <x v="2"/>
    <x v="2"/>
    <x v="1"/>
    <x v="1"/>
    <x v="2"/>
    <x v="3"/>
    <x v="1"/>
  </r>
  <r>
    <s v="/krs/216"/>
    <n v="216"/>
    <s v="01"/>
    <x v="0"/>
    <x v="4"/>
    <x v="13"/>
    <d v="2017-09-14T20:25:10"/>
    <x v="4"/>
    <x v="2"/>
    <s v=""/>
    <n v="163"/>
    <n v="123"/>
    <n v="286"/>
    <n v="0.56999999999999995"/>
    <n v="26"/>
    <m/>
    <n v="9"/>
    <n v="26"/>
    <n v="3.3"/>
    <n v="3.3"/>
    <n v="0.66"/>
    <n v="0.56999999999999995"/>
    <n v="0.92"/>
    <n v="0.86"/>
    <n v="0.35"/>
    <n v="0.43"/>
    <n v="26"/>
    <n v="4"/>
    <n v="3.3"/>
    <n v="0.73"/>
    <n v="0.66"/>
    <n v="0.15"/>
    <n v="0.34"/>
    <n v="0.63"/>
    <n v="0"/>
    <x v="2"/>
    <x v="3"/>
    <x v="1"/>
    <x v="3"/>
    <x v="1"/>
    <x v="1"/>
    <x v="2"/>
  </r>
  <r>
    <s v="/krs/218"/>
    <n v="218"/>
    <s v="1"/>
    <x v="0"/>
    <x v="5"/>
    <x v="14"/>
    <d v="2017-09-11T00:00:00"/>
    <x v="22"/>
    <x v="0"/>
    <m/>
    <n v="123"/>
    <n v="42"/>
    <n v="165"/>
    <n v="0.75"/>
    <n v="11"/>
    <m/>
    <n v="8"/>
    <n v="11"/>
    <n v="4"/>
    <n v="4"/>
    <n v="0.8"/>
    <n v="0.75"/>
    <n v="1"/>
    <n v="1"/>
    <n v="0.73"/>
    <n v="0.25"/>
    <n v="11"/>
    <n v="5"/>
    <n v="3.8"/>
    <n v="0.91"/>
    <n v="0.75"/>
    <n v="0.45"/>
    <n v="0.25"/>
    <n v="0.74"/>
    <n v="0"/>
    <x v="2"/>
    <x v="2"/>
    <x v="1"/>
    <x v="1"/>
    <x v="1"/>
    <x v="3"/>
    <x v="1"/>
  </r>
  <r>
    <s v="/krs/219"/>
    <n v="219"/>
    <s v="01"/>
    <x v="1"/>
    <x v="12"/>
    <x v="34"/>
    <d v="2017-10-03T00:00:00"/>
    <x v="1"/>
    <x v="1"/>
    <s v="Сочинение на основе литературного текста (А.Погорельский &quot;Чёрная курица, или Подземные жители&quot;) &quot;Чему научила меня история Алёши?&quot;"/>
    <n v="0"/>
    <n v="675"/>
    <n v="675"/>
    <n v="0"/>
    <n v="25"/>
    <m/>
    <n v="0"/>
    <n v="25"/>
    <n v="2"/>
    <n v="1"/>
    <n v="0.2"/>
    <n v="0"/>
    <n v="0"/>
    <n v="0"/>
    <n v="0"/>
    <n v="1"/>
    <n v="25"/>
    <n v="17"/>
    <n v="4"/>
    <n v="1"/>
    <n v="0.8"/>
    <n v="0.68"/>
    <n v="0.2"/>
    <n v="0"/>
    <n v="0"/>
    <x v="1"/>
    <x v="3"/>
    <x v="2"/>
    <x v="2"/>
    <x v="1"/>
    <x v="2"/>
    <x v="2"/>
  </r>
  <r>
    <s v="/krs/220"/>
    <n v="220"/>
    <s v="1"/>
    <x v="0"/>
    <x v="14"/>
    <x v="11"/>
    <d v="2017-09-15T00:00:00"/>
    <x v="21"/>
    <x v="0"/>
    <m/>
    <n v="177"/>
    <n v="117"/>
    <n v="294"/>
    <n v="0.6"/>
    <n v="14"/>
    <m/>
    <n v="5"/>
    <n v="14"/>
    <n v="3.4"/>
    <n v="3.4"/>
    <n v="0.67"/>
    <n v="0.6"/>
    <n v="0.93"/>
    <n v="0.79"/>
    <n v="0.36"/>
    <n v="0.4"/>
    <n v="14"/>
    <n v="8"/>
    <n v="3.8"/>
    <n v="1"/>
    <n v="0.76"/>
    <n v="0.56999999999999995"/>
    <n v="0.24"/>
    <n v="0.69"/>
    <n v="0.56999999999999995"/>
    <x v="2"/>
    <x v="1"/>
    <x v="1"/>
    <x v="2"/>
    <x v="1"/>
    <x v="2"/>
    <x v="2"/>
  </r>
  <r>
    <s v="/krs/222"/>
    <n v="222"/>
    <s v="1"/>
    <x v="1"/>
    <x v="3"/>
    <x v="35"/>
    <d v="2017-09-11T00:00:00"/>
    <x v="21"/>
    <x v="0"/>
    <m/>
    <n v="714"/>
    <n v="366"/>
    <n v="1080"/>
    <n v="0.66"/>
    <n v="40"/>
    <m/>
    <n v="18"/>
    <n v="40"/>
    <n v="3.6"/>
    <n v="3.2"/>
    <n v="0.65"/>
    <n v="0.66"/>
    <n v="0.83"/>
    <n v="0.92"/>
    <n v="0.45"/>
    <n v="0.34"/>
    <n v="38"/>
    <n v="14"/>
    <n v="3.6"/>
    <n v="0.97"/>
    <n v="0.72"/>
    <n v="0.37"/>
    <n v="0.28000000000000003"/>
    <n v="0.71"/>
    <n v="0.63"/>
    <x v="2"/>
    <x v="1"/>
    <x v="1"/>
    <x v="3"/>
    <x v="2"/>
    <x v="1"/>
    <x v="1"/>
  </r>
  <r>
    <s v="/krs/223"/>
    <n v="223"/>
    <s v="1"/>
    <x v="0"/>
    <x v="1"/>
    <x v="19"/>
    <d v="2017-09-04T00:00:00"/>
    <x v="7"/>
    <x v="0"/>
    <m/>
    <m/>
    <m/>
    <m/>
    <m/>
    <m/>
    <m/>
    <m/>
    <m/>
    <m/>
    <m/>
    <m/>
    <m/>
    <m/>
    <m/>
    <m/>
    <m/>
    <m/>
    <m/>
    <m/>
    <m/>
    <m/>
    <m/>
    <m/>
    <m/>
    <m/>
    <x v="0"/>
    <x v="0"/>
    <x v="0"/>
    <x v="0"/>
    <x v="0"/>
    <x v="0"/>
    <x v="0"/>
  </r>
  <r>
    <s v="/krs/224"/>
    <n v="224"/>
    <s v="1"/>
    <x v="0"/>
    <x v="5"/>
    <x v="21"/>
    <d v="2017-09-11T00:00:00"/>
    <x v="22"/>
    <x v="0"/>
    <m/>
    <n v="99"/>
    <n v="45"/>
    <n v="144"/>
    <n v="0.69"/>
    <n v="12"/>
    <m/>
    <n v="8"/>
    <n v="12"/>
    <n v="3.7"/>
    <n v="3.7"/>
    <n v="0.73"/>
    <n v="0.69"/>
    <n v="0.92"/>
    <n v="0.95"/>
    <n v="0.67"/>
    <n v="0.31"/>
    <n v="12"/>
    <n v="6"/>
    <n v="3.7"/>
    <n v="0.92"/>
    <n v="0.73"/>
    <n v="0.5"/>
    <n v="0.27"/>
    <n v="0.7"/>
    <n v="0"/>
    <x v="2"/>
    <x v="1"/>
    <x v="1"/>
    <x v="1"/>
    <x v="1"/>
    <x v="3"/>
    <x v="1"/>
  </r>
  <r>
    <s v="/krs/225"/>
    <n v="225"/>
    <s v="1"/>
    <x v="0"/>
    <x v="5"/>
    <x v="36"/>
    <d v="2017-09-12T00:00:00"/>
    <x v="22"/>
    <x v="0"/>
    <m/>
    <n v="157"/>
    <n v="419"/>
    <n v="576"/>
    <n v="0.27"/>
    <n v="48"/>
    <m/>
    <n v="12"/>
    <n v="48"/>
    <n v="2.7"/>
    <n v="2.1"/>
    <n v="0.41"/>
    <n v="0.27"/>
    <n v="0.38"/>
    <n v="0.36"/>
    <n v="0.25"/>
    <n v="0.73"/>
    <n v="19"/>
    <n v="10"/>
    <n v="3.8"/>
    <n v="0.95"/>
    <n v="0.76"/>
    <n v="0.53"/>
    <n v="0.24"/>
    <n v="0.28000000000000003"/>
    <n v="0"/>
    <x v="1"/>
    <x v="3"/>
    <x v="2"/>
    <x v="2"/>
    <x v="1"/>
    <x v="2"/>
    <x v="2"/>
  </r>
  <r>
    <s v="/krs/226"/>
    <n v="226"/>
    <s v="1"/>
    <x v="0"/>
    <x v="3"/>
    <x v="37"/>
    <d v="2017-09-16T00:00:00"/>
    <x v="21"/>
    <x v="0"/>
    <m/>
    <n v="795"/>
    <n v="375"/>
    <n v="1170"/>
    <n v="0.68"/>
    <n v="45"/>
    <m/>
    <n v="18"/>
    <n v="45"/>
    <n v="3.7"/>
    <n v="3.2"/>
    <n v="0.64"/>
    <n v="0.68"/>
    <n v="0.82"/>
    <n v="0.97"/>
    <n v="0.4"/>
    <n v="0.32"/>
    <n v="43"/>
    <n v="16"/>
    <n v="3.5"/>
    <n v="0.86"/>
    <n v="0.7"/>
    <n v="0.37"/>
    <n v="0.3"/>
    <n v="0.73"/>
    <n v="0.57999999999999996"/>
    <x v="2"/>
    <x v="1"/>
    <x v="1"/>
    <x v="1"/>
    <x v="2"/>
    <x v="3"/>
    <x v="1"/>
  </r>
  <r>
    <s v="/krs/229"/>
    <n v="229"/>
    <s v="1"/>
    <x v="1"/>
    <x v="2"/>
    <x v="2"/>
    <d v="2017-10-07T16:22:26"/>
    <x v="2"/>
    <x v="0"/>
    <s v="Линейное уравнение с одной переменной"/>
    <n v="7"/>
    <n v="279"/>
    <n v="286"/>
    <n v="0.02"/>
    <n v="26"/>
    <m/>
    <n v="0"/>
    <n v="26"/>
    <n v="2"/>
    <n v="1.1000000000000001"/>
    <n v="0.22"/>
    <n v="0.02"/>
    <n v="0"/>
    <n v="0"/>
    <n v="0"/>
    <n v="0.98"/>
    <n v="0"/>
    <n v="0"/>
    <n v="0"/>
    <n v="0"/>
    <n v="0"/>
    <n v="0"/>
    <n v="1"/>
    <n v="0.03"/>
    <n v="0"/>
    <x v="1"/>
    <x v="3"/>
    <x v="2"/>
    <x v="1"/>
    <x v="2"/>
    <x v="3"/>
    <x v="2"/>
  </r>
  <r>
    <s v="/krs/230"/>
    <n v="230"/>
    <s v="2"/>
    <x v="1"/>
    <x v="5"/>
    <x v="26"/>
    <d v="2017-09-28T00:00:00"/>
    <x v="22"/>
    <x v="0"/>
    <m/>
    <n v="281"/>
    <n v="115"/>
    <n v="396"/>
    <n v="0.71"/>
    <n v="11"/>
    <m/>
    <n v="9"/>
    <n v="11"/>
    <n v="3.8"/>
    <n v="4"/>
    <n v="0.8"/>
    <n v="0.71"/>
    <n v="1"/>
    <n v="0.9"/>
    <n v="0.82"/>
    <n v="0.28999999999999998"/>
    <n v="11"/>
    <n v="6"/>
    <n v="4"/>
    <n v="0.91"/>
    <n v="0.79"/>
    <n v="0.55000000000000004"/>
    <n v="0.21"/>
    <n v="0.74"/>
    <n v="0"/>
    <x v="2"/>
    <x v="2"/>
    <x v="1"/>
    <x v="3"/>
    <x v="1"/>
    <x v="1"/>
    <x v="2"/>
  </r>
  <r>
    <s v="/krs/231"/>
    <n v="231"/>
    <s v="1"/>
    <x v="0"/>
    <x v="14"/>
    <x v="15"/>
    <d v="2017-09-15T00:00:00"/>
    <x v="21"/>
    <x v="0"/>
    <m/>
    <n v="582"/>
    <n v="132"/>
    <n v="714"/>
    <n v="0.82"/>
    <n v="21"/>
    <m/>
    <n v="16"/>
    <n v="21"/>
    <n v="4.3"/>
    <n v="4.0999999999999996"/>
    <n v="0.82"/>
    <n v="0.82"/>
    <n v="1"/>
    <n v="1"/>
    <n v="0.76"/>
    <n v="0.18"/>
    <n v="21"/>
    <n v="16"/>
    <n v="4.0999999999999996"/>
    <n v="1"/>
    <n v="0.82"/>
    <n v="0.76"/>
    <n v="0.18"/>
    <n v="0.92"/>
    <n v="0.74"/>
    <x v="2"/>
    <x v="2"/>
    <x v="1"/>
    <x v="1"/>
    <x v="2"/>
    <x v="3"/>
    <x v="1"/>
  </r>
  <r>
    <s v="/krs/232"/>
    <n v="232"/>
    <s v="1"/>
    <x v="1"/>
    <x v="2"/>
    <x v="18"/>
    <d v="2017-10-09T08:37:27"/>
    <x v="2"/>
    <x v="0"/>
    <s v="&quot;Неравенства&quot;"/>
    <n v="0"/>
    <n v="636"/>
    <n v="636"/>
    <n v="0"/>
    <n v="53"/>
    <m/>
    <n v="0"/>
    <n v="53"/>
    <n v="2"/>
    <n v="1"/>
    <n v="0.2"/>
    <n v="0"/>
    <n v="0"/>
    <n v="0"/>
    <n v="0"/>
    <n v="1"/>
    <n v="0"/>
    <n v="0"/>
    <n v="0"/>
    <n v="0"/>
    <n v="0"/>
    <n v="0"/>
    <n v="1"/>
    <n v="0"/>
    <n v="0"/>
    <x v="1"/>
    <x v="3"/>
    <x v="2"/>
    <x v="1"/>
    <x v="2"/>
    <x v="3"/>
    <x v="2"/>
  </r>
  <r>
    <s v="/krs/233"/>
    <n v="233"/>
    <s v="01 "/>
    <x v="0"/>
    <x v="5"/>
    <x v="38"/>
    <d v="2017-09-12T00:00:00"/>
    <x v="19"/>
    <x v="0"/>
    <m/>
    <n v="486"/>
    <n v="365"/>
    <n v="851"/>
    <n v="0.56999999999999995"/>
    <n v="37"/>
    <m/>
    <n v="15"/>
    <n v="37"/>
    <n v="3.3"/>
    <n v="3.3"/>
    <n v="0.66"/>
    <n v="0.56999999999999995"/>
    <n v="0.86"/>
    <n v="0.76"/>
    <n v="0.41"/>
    <n v="0.43"/>
    <n v="35"/>
    <n v="19"/>
    <n v="3.7"/>
    <n v="0.8"/>
    <n v="0.75"/>
    <n v="0.54"/>
    <n v="0.25"/>
    <n v="0.62"/>
    <n v="0"/>
    <x v="2"/>
    <x v="3"/>
    <x v="1"/>
    <x v="2"/>
    <x v="1"/>
    <x v="2"/>
    <x v="2"/>
  </r>
  <r>
    <s v="/krs/235"/>
    <n v="235"/>
    <s v="2"/>
    <x v="1"/>
    <x v="5"/>
    <x v="39"/>
    <d v="2017-10-10T11:25:05"/>
    <x v="22"/>
    <x v="0"/>
    <m/>
    <n v="532"/>
    <n v="238"/>
    <n v="770"/>
    <n v="0.69"/>
    <n v="35"/>
    <m/>
    <n v="21"/>
    <n v="35"/>
    <n v="3.8"/>
    <n v="3.7"/>
    <n v="0.74"/>
    <n v="0.69"/>
    <n v="0.89"/>
    <n v="0.87"/>
    <n v="0.6"/>
    <n v="0.31"/>
    <n v="35"/>
    <n v="20"/>
    <n v="4"/>
    <n v="1"/>
    <n v="0.79"/>
    <n v="0.56999999999999995"/>
    <n v="0.21"/>
    <n v="0.7"/>
    <n v="0"/>
    <x v="2"/>
    <x v="1"/>
    <x v="1"/>
    <x v="3"/>
    <x v="2"/>
    <x v="2"/>
    <x v="2"/>
  </r>
  <r>
    <s v="/krs/236"/>
    <n v="236"/>
    <s v="2"/>
    <x v="1"/>
    <x v="3"/>
    <x v="11"/>
    <d v="2017-10-03T00:00:00"/>
    <x v="21"/>
    <x v="0"/>
    <m/>
    <n v="357"/>
    <n v="137"/>
    <n v="494"/>
    <n v="0.72"/>
    <n v="13"/>
    <m/>
    <n v="10"/>
    <n v="13"/>
    <n v="3.9"/>
    <n v="3.8"/>
    <n v="0.75"/>
    <n v="0.72"/>
    <n v="1"/>
    <n v="0.92"/>
    <n v="0.77"/>
    <n v="0.28000000000000003"/>
    <n v="13"/>
    <n v="7"/>
    <n v="3.9"/>
    <n v="1"/>
    <n v="0.78"/>
    <n v="0.54"/>
    <n v="0.22"/>
    <n v="0.76"/>
    <n v="0.69"/>
    <x v="2"/>
    <x v="2"/>
    <x v="1"/>
    <x v="3"/>
    <x v="1"/>
    <x v="1"/>
    <x v="1"/>
  </r>
  <r>
    <s v="/krs/237"/>
    <n v="237"/>
    <s v="01"/>
    <x v="1"/>
    <x v="12"/>
    <x v="1"/>
    <d v="2017-10-11T00:00:00"/>
    <x v="1"/>
    <x v="1"/>
    <s v="Сочинение по произведениям Бунина, Куприна, Андреева"/>
    <n v="125"/>
    <n v="113"/>
    <n v="238"/>
    <n v="0.53"/>
    <n v="14"/>
    <m/>
    <n v="5"/>
    <n v="14"/>
    <n v="3.1"/>
    <n v="3.4"/>
    <n v="0.67"/>
    <n v="0.53"/>
    <n v="1"/>
    <n v="0.8"/>
    <n v="0.36"/>
    <n v="0.47"/>
    <n v="14"/>
    <n v="4"/>
    <n v="3.4"/>
    <n v="0.93"/>
    <n v="0.67"/>
    <n v="0.28999999999999998"/>
    <n v="0.33"/>
    <n v="0.65"/>
    <n v="0.52"/>
    <x v="1"/>
    <x v="3"/>
    <x v="1"/>
    <x v="2"/>
    <x v="1"/>
    <x v="2"/>
    <x v="2"/>
  </r>
  <r>
    <s v="/krs/238"/>
    <n v="238"/>
    <s v="02. "/>
    <x v="1"/>
    <x v="12"/>
    <x v="3"/>
    <d v="2017-10-11T00:00:00"/>
    <x v="1"/>
    <x v="1"/>
    <s v="Сочинение по &quot;Слову о полку Игореве&quot;"/>
    <n v="222"/>
    <n v="192"/>
    <n v="414"/>
    <n v="0.54"/>
    <n v="23"/>
    <m/>
    <n v="7"/>
    <n v="23"/>
    <n v="2.7"/>
    <n v="3.3"/>
    <n v="0.65"/>
    <n v="0.54"/>
    <n v="0.87"/>
    <n v="0.77"/>
    <n v="0.3"/>
    <n v="0.46"/>
    <n v="21"/>
    <n v="10"/>
    <n v="3.5"/>
    <n v="0.81"/>
    <n v="0.7"/>
    <n v="0.48"/>
    <n v="0.3"/>
    <n v="0.54"/>
    <n v="0.59"/>
    <x v="1"/>
    <x v="3"/>
    <x v="1"/>
    <x v="2"/>
    <x v="1"/>
    <x v="2"/>
    <x v="2"/>
  </r>
  <r>
    <s v="/krs/239"/>
    <n v="239"/>
    <s v="03. "/>
    <x v="1"/>
    <x v="1"/>
    <x v="3"/>
    <d v="2017-10-12T00:00:00"/>
    <x v="1"/>
    <x v="1"/>
    <s v="Сжатое изложение текста "/>
    <n v="278"/>
    <n v="113"/>
    <n v="391"/>
    <n v="0.71"/>
    <n v="23"/>
    <m/>
    <n v="17"/>
    <n v="23"/>
    <n v="3.5"/>
    <n v="3.8"/>
    <n v="0.77"/>
    <n v="0.71"/>
    <n v="0.96"/>
    <n v="1.01"/>
    <n v="0.74"/>
    <n v="0.28999999999999998"/>
    <n v="23"/>
    <n v="10"/>
    <n v="3.5"/>
    <n v="0.78"/>
    <n v="0.7"/>
    <n v="0.43"/>
    <n v="0.3"/>
    <n v="0.7"/>
    <n v="0"/>
    <x v="2"/>
    <x v="2"/>
    <x v="1"/>
    <x v="1"/>
    <x v="1"/>
    <x v="3"/>
    <x v="1"/>
  </r>
  <r>
    <s v="/krs/240"/>
    <n v="240"/>
    <s v="01"/>
    <x v="1"/>
    <x v="8"/>
    <x v="40"/>
    <d v="2017-10-10T00:00:00"/>
    <x v="12"/>
    <x v="1"/>
    <m/>
    <n v="1496"/>
    <n v="628"/>
    <n v="2124"/>
    <n v="0.7"/>
    <n v="59"/>
    <m/>
    <n v="31"/>
    <n v="59"/>
    <n v="3.6"/>
    <n v="3.6"/>
    <n v="0.73"/>
    <n v="0.7"/>
    <n v="0.9"/>
    <n v="0.92"/>
    <n v="0.53"/>
    <n v="0.3"/>
    <n v="59"/>
    <n v="32"/>
    <n v="3.8"/>
    <n v="0.88"/>
    <n v="0.76"/>
    <n v="0.54"/>
    <n v="0.24"/>
    <n v="0.7"/>
    <n v="0"/>
    <x v="2"/>
    <x v="2"/>
    <x v="1"/>
    <x v="3"/>
    <x v="2"/>
    <x v="1"/>
    <x v="1"/>
  </r>
  <r>
    <s v="/krs/244"/>
    <n v="244"/>
    <s v="01"/>
    <x v="1"/>
    <x v="8"/>
    <x v="6"/>
    <d v="2017-10-12T00:00:00"/>
    <x v="12"/>
    <x v="1"/>
    <m/>
    <n v="1145"/>
    <n v="511"/>
    <n v="1656"/>
    <n v="0.69"/>
    <n v="46"/>
    <m/>
    <n v="20"/>
    <n v="46"/>
    <n v="3.5"/>
    <n v="3.5"/>
    <n v="0.7"/>
    <n v="0.69"/>
    <n v="0.89"/>
    <n v="0.88"/>
    <n v="0.43"/>
    <n v="0.31"/>
    <n v="46"/>
    <n v="29"/>
    <n v="3.9"/>
    <n v="0.8"/>
    <n v="0.78"/>
    <n v="0.63"/>
    <n v="0.22"/>
    <n v="0.65"/>
    <n v="0"/>
    <x v="2"/>
    <x v="1"/>
    <x v="1"/>
    <x v="3"/>
    <x v="1"/>
    <x v="1"/>
    <x v="2"/>
  </r>
  <r>
    <s v="/krs/245"/>
    <n v="245"/>
    <s v="01"/>
    <x v="0"/>
    <x v="1"/>
    <x v="22"/>
    <d v="2017-09-04T00:00:00"/>
    <x v="7"/>
    <x v="0"/>
    <s v="Решение теста"/>
    <n v="364"/>
    <n v="136"/>
    <n v="500"/>
    <n v="0.73"/>
    <n v="25"/>
    <m/>
    <n v="21"/>
    <n v="25"/>
    <n v="3.9"/>
    <n v="3.9"/>
    <n v="0.78"/>
    <n v="0.73"/>
    <n v="1"/>
    <n v="0.91"/>
    <n v="0.84"/>
    <n v="0.27"/>
    <n v="25"/>
    <n v="20"/>
    <n v="4"/>
    <n v="1"/>
    <n v="0.8"/>
    <n v="0.8"/>
    <n v="0.2"/>
    <n v="0.73"/>
    <n v="0"/>
    <x v="2"/>
    <x v="2"/>
    <x v="1"/>
    <x v="3"/>
    <x v="2"/>
    <x v="1"/>
    <x v="1"/>
  </r>
  <r>
    <s v="/krs/246"/>
    <n v="246"/>
    <s v="Сочинение-рассуждение (задание 26 теста ЕГЭ)"/>
    <x v="1"/>
    <x v="1"/>
    <x v="1"/>
    <d v="2017-10-23T00:00:00"/>
    <x v="1"/>
    <x v="1"/>
    <s v="Сочинение-рассуждение (задание 26 теста ЕГЭ)"/>
    <n v="154"/>
    <n v="182"/>
    <n v="336"/>
    <n v="0.46"/>
    <n v="14"/>
    <m/>
    <n v="1"/>
    <n v="14"/>
    <n v="2.4"/>
    <n v="2.9"/>
    <n v="0.59"/>
    <n v="0.46"/>
    <n v="0.86"/>
    <n v="0.7"/>
    <n v="7.0000000000000007E-2"/>
    <n v="0.54"/>
    <n v="14"/>
    <n v="4"/>
    <n v="3.3"/>
    <n v="0.93"/>
    <n v="0.66"/>
    <n v="0.28999999999999998"/>
    <n v="0.34"/>
    <n v="0.65"/>
    <n v="0.43"/>
    <x v="1"/>
    <x v="3"/>
    <x v="1"/>
    <x v="2"/>
    <x v="1"/>
    <x v="2"/>
    <x v="2"/>
  </r>
  <r>
    <s v="/krs/247"/>
    <n v="247"/>
    <s v="01"/>
    <x v="1"/>
    <x v="7"/>
    <x v="4"/>
    <d v="2017-10-16T00:00:00"/>
    <x v="10"/>
    <x v="0"/>
    <m/>
    <n v="144"/>
    <n v="116"/>
    <n v="260"/>
    <n v="0.55000000000000004"/>
    <n v="26"/>
    <m/>
    <n v="8"/>
    <n v="26"/>
    <n v="3.2"/>
    <n v="3.1"/>
    <n v="0.62"/>
    <n v="0.55000000000000004"/>
    <n v="0.81"/>
    <n v="0"/>
    <n v="0.31"/>
    <n v="0.45"/>
    <n v="26"/>
    <n v="12"/>
    <n v="3.7"/>
    <n v="0.92"/>
    <n v="0.74"/>
    <n v="0.46"/>
    <n v="0.26"/>
    <n v="0.61"/>
    <n v="0"/>
    <x v="2"/>
    <x v="3"/>
    <x v="1"/>
    <x v="1"/>
    <x v="1"/>
    <x v="3"/>
    <x v="2"/>
  </r>
  <r>
    <s v="/krs/248"/>
    <n v="248"/>
    <s v="01"/>
    <x v="1"/>
    <x v="7"/>
    <x v="8"/>
    <d v="2017-10-19T00:00:00"/>
    <x v="10"/>
    <x v="0"/>
    <s v="первая контрольная работа по основным, первоначальным сведениям о строении атомов и видах связи."/>
    <n v="124"/>
    <n v="76"/>
    <n v="200"/>
    <n v="0.62"/>
    <n v="20"/>
    <m/>
    <n v="15"/>
    <n v="20"/>
    <n v="3.6"/>
    <n v="3.5"/>
    <n v="0.71"/>
    <n v="0.62"/>
    <n v="0.85"/>
    <n v="0"/>
    <n v="0.75"/>
    <n v="0.38"/>
    <n v="0"/>
    <n v="0"/>
    <n v="0"/>
    <n v="0"/>
    <n v="0"/>
    <n v="0"/>
    <n v="1"/>
    <n v="0.68"/>
    <n v="0"/>
    <x v="2"/>
    <x v="1"/>
    <x v="1"/>
    <x v="1"/>
    <x v="1"/>
    <x v="3"/>
    <x v="2"/>
  </r>
  <r>
    <s v="/krs/250"/>
    <n v="250"/>
    <s v="01"/>
    <x v="1"/>
    <x v="7"/>
    <x v="9"/>
    <d v="2017-10-13T00:00:00"/>
    <x v="10"/>
    <x v="0"/>
    <m/>
    <n v="152"/>
    <n v="68"/>
    <n v="220"/>
    <n v="0.69"/>
    <n v="22"/>
    <m/>
    <n v="14"/>
    <n v="22"/>
    <n v="3.8"/>
    <n v="3.8"/>
    <n v="0.76"/>
    <n v="0.69"/>
    <n v="0.95"/>
    <n v="0"/>
    <n v="0.64"/>
    <n v="0.31"/>
    <n v="22"/>
    <n v="19"/>
    <n v="4.2"/>
    <n v="1"/>
    <n v="0.85"/>
    <n v="0.86"/>
    <n v="0.15"/>
    <n v="0.75"/>
    <n v="0"/>
    <x v="2"/>
    <x v="1"/>
    <x v="1"/>
    <x v="1"/>
    <x v="1"/>
    <x v="3"/>
    <x v="2"/>
  </r>
  <r>
    <s v="/krs/251"/>
    <n v="251"/>
    <s v="01"/>
    <x v="1"/>
    <x v="7"/>
    <x v="10"/>
    <d v="2017-10-16T00:00:00"/>
    <x v="10"/>
    <x v="0"/>
    <m/>
    <n v="113"/>
    <n v="77"/>
    <n v="190"/>
    <n v="0.59"/>
    <n v="19"/>
    <m/>
    <n v="9"/>
    <n v="19"/>
    <n v="3.4"/>
    <n v="3.4"/>
    <n v="0.68"/>
    <n v="0.59"/>
    <n v="0.79"/>
    <n v="0"/>
    <n v="0.47"/>
    <n v="0.41"/>
    <n v="19"/>
    <n v="9"/>
    <n v="3.7"/>
    <n v="0.95"/>
    <n v="0.75"/>
    <n v="0.47"/>
    <n v="0.25"/>
    <m/>
    <n v="0"/>
    <x v="2"/>
    <x v="3"/>
    <x v="1"/>
    <x v="1"/>
    <x v="1"/>
    <x v="3"/>
    <x v="2"/>
  </r>
  <r>
    <s v="/krs/253"/>
    <n v="253"/>
    <s v="1"/>
    <x v="0"/>
    <x v="2"/>
    <x v="21"/>
    <d v="2017-09-20T00:00:00"/>
    <x v="23"/>
    <x v="0"/>
    <m/>
    <n v="140"/>
    <n v="136"/>
    <n v="276"/>
    <n v="0.51"/>
    <n v="23"/>
    <m/>
    <n v="8"/>
    <n v="23"/>
    <n v="3.1"/>
    <n v="3.4"/>
    <n v="0.69"/>
    <n v="0.51"/>
    <n v="1"/>
    <n v="0"/>
    <n v="0.35"/>
    <n v="0.49"/>
    <n v="0"/>
    <n v="0"/>
    <n v="0"/>
    <n v="0"/>
    <n v="0"/>
    <n v="0"/>
    <n v="1"/>
    <n v="0.77"/>
    <n v="0.4"/>
    <x v="1"/>
    <x v="3"/>
    <x v="1"/>
    <x v="1"/>
    <x v="1"/>
    <x v="3"/>
    <x v="2"/>
  </r>
  <r>
    <s v="/krs/254"/>
    <n v="254"/>
    <s v="1"/>
    <x v="0"/>
    <x v="2"/>
    <x v="20"/>
    <d v="2017-09-19T00:00:00"/>
    <x v="23"/>
    <x v="0"/>
    <m/>
    <n v="110"/>
    <n v="94"/>
    <n v="204"/>
    <n v="0.54"/>
    <n v="17"/>
    <m/>
    <n v="8"/>
    <n v="17"/>
    <n v="3.2"/>
    <n v="3.4"/>
    <n v="0.67"/>
    <n v="0.54"/>
    <n v="0.88"/>
    <n v="0"/>
    <n v="0.47"/>
    <n v="0.46"/>
    <n v="0"/>
    <n v="0"/>
    <n v="0"/>
    <n v="0"/>
    <n v="0"/>
    <n v="0"/>
    <n v="1"/>
    <n v="0.78"/>
    <n v="0.45"/>
    <x v="1"/>
    <x v="3"/>
    <x v="1"/>
    <x v="1"/>
    <x v="1"/>
    <x v="3"/>
    <x v="2"/>
  </r>
  <r>
    <s v="/krs/255"/>
    <n v="255"/>
    <s v="01"/>
    <x v="1"/>
    <x v="7"/>
    <x v="7"/>
    <d v="2017-10-14T00:00:00"/>
    <x v="10"/>
    <x v="0"/>
    <m/>
    <n v="171"/>
    <n v="89"/>
    <n v="260"/>
    <n v="0.66"/>
    <n v="26"/>
    <m/>
    <n v="19"/>
    <n v="26"/>
    <n v="3.7"/>
    <n v="3.7"/>
    <n v="0.75"/>
    <n v="0.66"/>
    <n v="0.85"/>
    <n v="0"/>
    <n v="0.73"/>
    <n v="0.34"/>
    <n v="24"/>
    <n v="17"/>
    <n v="4.0999999999999996"/>
    <n v="0.92"/>
    <n v="0.82"/>
    <n v="0.71"/>
    <n v="0.18"/>
    <n v="0.72"/>
    <n v="0"/>
    <x v="2"/>
    <x v="1"/>
    <x v="1"/>
    <x v="1"/>
    <x v="1"/>
    <x v="3"/>
    <x v="2"/>
  </r>
  <r>
    <s v="/krs/256"/>
    <n v="256"/>
    <s v="01"/>
    <x v="0"/>
    <x v="6"/>
    <x v="41"/>
    <d v="2017-09-06T00:00:00"/>
    <x v="24"/>
    <x v="0"/>
    <m/>
    <n v="72"/>
    <n v="38"/>
    <n v="110"/>
    <n v="0.65"/>
    <n v="11"/>
    <m/>
    <n v="4"/>
    <n v="11"/>
    <n v="3.6"/>
    <n v="3.5"/>
    <n v="0.71"/>
    <n v="0.65"/>
    <n v="1"/>
    <n v="0.82"/>
    <n v="0.36"/>
    <n v="0.35"/>
    <n v="11"/>
    <n v="6"/>
    <n v="4"/>
    <n v="1"/>
    <n v="0.79"/>
    <n v="0.55000000000000004"/>
    <n v="0.21"/>
    <n v="0.66"/>
    <n v="0"/>
    <x v="2"/>
    <x v="1"/>
    <x v="1"/>
    <x v="2"/>
    <x v="1"/>
    <x v="2"/>
    <x v="2"/>
  </r>
  <r>
    <s v="/krs/257"/>
    <n v="257"/>
    <s v="01"/>
    <x v="0"/>
    <x v="6"/>
    <x v="18"/>
    <d v="2017-09-16T00:00:00"/>
    <x v="24"/>
    <x v="0"/>
    <m/>
    <n v="426"/>
    <n v="393"/>
    <n v="819"/>
    <n v="0.52"/>
    <n v="63"/>
    <m/>
    <n v="18"/>
    <n v="63"/>
    <n v="3.1"/>
    <n v="3.2"/>
    <n v="0.64"/>
    <n v="0.52"/>
    <n v="0.9"/>
    <n v="0.8"/>
    <n v="0.28999999999999998"/>
    <n v="0.48"/>
    <n v="63"/>
    <n v="4"/>
    <n v="3.3"/>
    <n v="0.97"/>
    <n v="0.65"/>
    <n v="0.06"/>
    <n v="0.35"/>
    <n v="0.57999999999999996"/>
    <n v="0"/>
    <x v="1"/>
    <x v="3"/>
    <x v="1"/>
    <x v="2"/>
    <x v="1"/>
    <x v="2"/>
    <x v="2"/>
  </r>
  <r>
    <s v="/krs/258"/>
    <n v="258"/>
    <s v="01"/>
    <x v="0"/>
    <x v="9"/>
    <x v="18"/>
    <d v="2017-09-15T00:00:00"/>
    <x v="24"/>
    <x v="0"/>
    <m/>
    <n v="505"/>
    <n v="225"/>
    <n v="730"/>
    <n v="0.69"/>
    <n v="73"/>
    <m/>
    <n v="0"/>
    <n v="73"/>
    <n v="3.8"/>
    <n v="1"/>
    <n v="0.2"/>
    <n v="0.69"/>
    <n v="0"/>
    <n v="0"/>
    <n v="0"/>
    <n v="0.31"/>
    <n v="0"/>
    <n v="0"/>
    <n v="0"/>
    <n v="0"/>
    <n v="0"/>
    <n v="0"/>
    <n v="1"/>
    <n v="0.69"/>
    <n v="0"/>
    <x v="1"/>
    <x v="1"/>
    <x v="2"/>
    <x v="1"/>
    <x v="2"/>
    <x v="3"/>
    <x v="2"/>
  </r>
  <r>
    <s v="/krs/259"/>
    <n v="259"/>
    <s v="02"/>
    <x v="1"/>
    <x v="10"/>
    <x v="10"/>
    <d v="2017-10-10T00:00:00"/>
    <x v="14"/>
    <x v="0"/>
    <s v="Россия на карте мира"/>
    <n v="419"/>
    <n v="248"/>
    <n v="667"/>
    <n v="0.63"/>
    <n v="23"/>
    <m/>
    <n v="13"/>
    <n v="23"/>
    <n v="3.5"/>
    <n v="3.6"/>
    <n v="0.71"/>
    <n v="0.63"/>
    <n v="0.91"/>
    <n v="0.84"/>
    <n v="0.56999999999999995"/>
    <n v="0.37"/>
    <n v="23"/>
    <n v="10"/>
    <n v="3.8"/>
    <n v="1"/>
    <n v="0.75"/>
    <n v="0.43"/>
    <n v="0.25"/>
    <n v="0.67"/>
    <n v="0"/>
    <x v="2"/>
    <x v="1"/>
    <x v="1"/>
    <x v="2"/>
    <x v="1"/>
    <x v="2"/>
    <x v="2"/>
  </r>
  <r>
    <s v="/krs/260"/>
    <n v="260"/>
    <s v="02"/>
    <x v="1"/>
    <x v="10"/>
    <x v="9"/>
    <d v="2017-10-03T00:00:00"/>
    <x v="14"/>
    <x v="0"/>
    <s v="Россия на карте мира"/>
    <n v="337"/>
    <n v="243"/>
    <n v="580"/>
    <n v="0.57999999999999996"/>
    <n v="20"/>
    <m/>
    <n v="6"/>
    <n v="20"/>
    <n v="3.3"/>
    <n v="3"/>
    <n v="0.6"/>
    <n v="0.57999999999999996"/>
    <n v="0.75"/>
    <n v="0.79"/>
    <n v="0.3"/>
    <n v="0.42"/>
    <n v="19"/>
    <n v="7"/>
    <n v="3.7"/>
    <n v="1"/>
    <n v="0.73"/>
    <n v="0.37"/>
    <n v="0.27"/>
    <n v="0.64"/>
    <n v="0.5"/>
    <x v="2"/>
    <x v="3"/>
    <x v="1"/>
    <x v="2"/>
    <x v="2"/>
    <x v="2"/>
    <x v="2"/>
  </r>
  <r>
    <s v="/krs/261"/>
    <n v="261"/>
    <s v="02."/>
    <x v="1"/>
    <x v="10"/>
    <x v="7"/>
    <d v="2017-10-06T00:00:00"/>
    <x v="14"/>
    <x v="0"/>
    <s v="Россия на карте мира"/>
    <n v="409"/>
    <n v="258"/>
    <n v="667"/>
    <n v="0.61"/>
    <n v="23"/>
    <m/>
    <n v="12"/>
    <n v="23"/>
    <n v="3.5"/>
    <n v="3.4"/>
    <n v="0.68"/>
    <n v="0.61"/>
    <n v="0.83"/>
    <n v="0.79"/>
    <n v="0.52"/>
    <n v="0.39"/>
    <n v="23"/>
    <n v="12"/>
    <n v="3.8"/>
    <n v="1"/>
    <n v="0.77"/>
    <n v="0.52"/>
    <n v="0.23"/>
    <n v="0.7"/>
    <n v="0.55000000000000004"/>
    <x v="2"/>
    <x v="1"/>
    <x v="1"/>
    <x v="2"/>
    <x v="2"/>
    <x v="2"/>
    <x v="2"/>
  </r>
  <r>
    <s v="/krs/262"/>
    <n v="262"/>
    <s v="02"/>
    <x v="1"/>
    <x v="10"/>
    <x v="8"/>
    <d v="2017-10-10T00:00:00"/>
    <x v="14"/>
    <x v="0"/>
    <s v="Россия на карте мира"/>
    <n v="352"/>
    <n v="257"/>
    <n v="609"/>
    <n v="0.57999999999999996"/>
    <n v="21"/>
    <m/>
    <n v="5"/>
    <n v="21"/>
    <n v="3.3"/>
    <n v="3.2"/>
    <n v="0.65"/>
    <n v="0.57999999999999996"/>
    <n v="1"/>
    <n v="0.82"/>
    <n v="0.24"/>
    <n v="0.42"/>
    <n v="21"/>
    <n v="6"/>
    <n v="3.6"/>
    <n v="1"/>
    <n v="0.71"/>
    <n v="0.28999999999999998"/>
    <n v="0.28999999999999998"/>
    <n v="0.61"/>
    <n v="0"/>
    <x v="2"/>
    <x v="3"/>
    <x v="1"/>
    <x v="2"/>
    <x v="2"/>
    <x v="2"/>
    <x v="2"/>
  </r>
  <r>
    <s v="/krs/263"/>
    <n v="263"/>
    <s v="02"/>
    <x v="1"/>
    <x v="10"/>
    <x v="4"/>
    <d v="2017-10-11T00:00:00"/>
    <x v="14"/>
    <x v="0"/>
    <s v="Россия на карте мира"/>
    <n v="524"/>
    <n v="259"/>
    <n v="783"/>
    <n v="0.67"/>
    <n v="27"/>
    <m/>
    <n v="23"/>
    <n v="27"/>
    <n v="3.7"/>
    <n v="3.9"/>
    <n v="0.78"/>
    <n v="0.67"/>
    <n v="1"/>
    <n v="0.91"/>
    <n v="0.85"/>
    <n v="0.33"/>
    <n v="27"/>
    <n v="13"/>
    <n v="3.7"/>
    <n v="1"/>
    <n v="0.74"/>
    <n v="0.48"/>
    <n v="0.26"/>
    <n v="0.69"/>
    <n v="0"/>
    <x v="1"/>
    <x v="1"/>
    <x v="1"/>
    <x v="3"/>
    <x v="1"/>
    <x v="1"/>
    <x v="1"/>
  </r>
  <r>
    <s v="/krs/264"/>
    <n v="264"/>
    <s v="02"/>
    <x v="1"/>
    <x v="10"/>
    <x v="19"/>
    <d v="2017-10-11T00:00:00"/>
    <x v="14"/>
    <x v="0"/>
    <s v="Природа Земли"/>
    <n v="394"/>
    <n v="518"/>
    <n v="912"/>
    <n v="0.43"/>
    <n v="24"/>
    <m/>
    <n v="6"/>
    <n v="24"/>
    <n v="2.7"/>
    <n v="2.9"/>
    <n v="0.57999999999999996"/>
    <n v="0.43"/>
    <n v="0.63"/>
    <n v="0.63"/>
    <n v="0.25"/>
    <n v="0.56999999999999995"/>
    <n v="24"/>
    <n v="3"/>
    <n v="3.4"/>
    <n v="1"/>
    <n v="0.68"/>
    <n v="0.13"/>
    <n v="0.32"/>
    <n v="0.6"/>
    <n v="0"/>
    <x v="1"/>
    <x v="3"/>
    <x v="3"/>
    <x v="2"/>
    <x v="1"/>
    <x v="2"/>
    <x v="2"/>
  </r>
  <r>
    <s v="/krs/265"/>
    <n v="265"/>
    <s v="02"/>
    <x v="1"/>
    <x v="10"/>
    <x v="5"/>
    <d v="2017-10-09T00:00:00"/>
    <x v="14"/>
    <x v="0"/>
    <s v="Природа Земли"/>
    <n v="462"/>
    <n v="602"/>
    <n v="1064"/>
    <n v="0.43"/>
    <n v="28"/>
    <m/>
    <n v="6"/>
    <n v="28"/>
    <n v="2.7"/>
    <n v="2.8"/>
    <n v="0.56000000000000005"/>
    <n v="0.43"/>
    <n v="0.56999999999999995"/>
    <n v="0.64"/>
    <n v="0.21"/>
    <n v="0.56999999999999995"/>
    <n v="28"/>
    <n v="5"/>
    <n v="3.4"/>
    <n v="0.96"/>
    <n v="0.67"/>
    <n v="0.18"/>
    <n v="0.33"/>
    <n v="0.64"/>
    <n v="0.13"/>
    <x v="1"/>
    <x v="3"/>
    <x v="3"/>
    <x v="2"/>
    <x v="2"/>
    <x v="2"/>
    <x v="2"/>
  </r>
  <r>
    <s v="/krs/266"/>
    <n v="266"/>
    <s v="1"/>
    <x v="1"/>
    <x v="2"/>
    <x v="34"/>
    <d v="2017-10-06T00:00:00"/>
    <x v="23"/>
    <x v="0"/>
    <s v="Контрольная работа по теме &quot;Натуральные числа&quot;"/>
    <n v="143"/>
    <n v="65"/>
    <n v="208"/>
    <n v="0.69"/>
    <n v="26"/>
    <m/>
    <n v="20"/>
    <n v="26"/>
    <n v="3.8"/>
    <n v="4"/>
    <n v="0.8"/>
    <n v="0.69"/>
    <n v="0.85"/>
    <n v="0"/>
    <n v="0.77"/>
    <n v="0.31"/>
    <n v="0"/>
    <n v="0"/>
    <n v="0"/>
    <n v="0"/>
    <n v="0"/>
    <n v="0"/>
    <n v="1"/>
    <n v="0.69"/>
    <n v="0"/>
    <x v="1"/>
    <x v="1"/>
    <x v="1"/>
    <x v="1"/>
    <x v="1"/>
    <x v="3"/>
    <x v="2"/>
  </r>
  <r>
    <s v="/krs/267"/>
    <n v="267"/>
    <s v="2"/>
    <x v="1"/>
    <x v="2"/>
    <x v="34"/>
    <d v="2017-10-24T00:00:00"/>
    <x v="23"/>
    <x v="0"/>
    <s v="Контрольная работа &quot;Сложение и вычитание натуральных чисел. Числовые и буквенные выражения. Формулы&quot;"/>
    <n v="100"/>
    <n v="44"/>
    <n v="144"/>
    <n v="0.69"/>
    <n v="24"/>
    <m/>
    <n v="18"/>
    <n v="24"/>
    <n v="3.9"/>
    <n v="3.8"/>
    <n v="0.77"/>
    <n v="0.69"/>
    <n v="0.92"/>
    <n v="0"/>
    <n v="0.75"/>
    <n v="0.31"/>
    <n v="0"/>
    <n v="0"/>
    <n v="0"/>
    <n v="0"/>
    <n v="0"/>
    <n v="0"/>
    <n v="1"/>
    <n v="0.7"/>
    <n v="0"/>
    <x v="2"/>
    <x v="1"/>
    <x v="1"/>
    <x v="1"/>
    <x v="1"/>
    <x v="3"/>
    <x v="2"/>
  </r>
  <r>
    <s v="/krs/268"/>
    <n v="268"/>
    <s v="1"/>
    <x v="1"/>
    <x v="2"/>
    <x v="24"/>
    <d v="2017-10-04T00:00:00"/>
    <x v="23"/>
    <x v="0"/>
    <s v="Натуральные числа"/>
    <n v="171"/>
    <n v="45"/>
    <n v="216"/>
    <n v="0.79"/>
    <n v="27"/>
    <m/>
    <n v="25"/>
    <n v="27"/>
    <n v="4.2"/>
    <n v="4.3"/>
    <n v="0.87"/>
    <n v="0.79"/>
    <n v="0.96"/>
    <n v="0"/>
    <n v="0.93"/>
    <n v="0.21"/>
    <n v="0"/>
    <n v="0"/>
    <n v="0"/>
    <n v="0"/>
    <n v="0"/>
    <n v="0"/>
    <n v="1"/>
    <n v="0.83"/>
    <n v="0.67"/>
    <x v="2"/>
    <x v="2"/>
    <x v="1"/>
    <x v="1"/>
    <x v="1"/>
    <x v="3"/>
    <x v="2"/>
  </r>
  <r>
    <s v="/krs/269"/>
    <n v="269"/>
    <s v="2"/>
    <x v="1"/>
    <x v="2"/>
    <x v="24"/>
    <d v="2017-10-19T00:00:00"/>
    <x v="23"/>
    <x v="0"/>
    <s v="&quot;Сложение и вычитание натуральных чисел. Числовые и буквенные выражения. Формулы&quot;"/>
    <n v="111"/>
    <n v="45"/>
    <n v="156"/>
    <n v="0.71"/>
    <n v="26"/>
    <m/>
    <n v="18"/>
    <n v="26"/>
    <n v="3.9"/>
    <n v="3.9"/>
    <n v="0.78"/>
    <n v="0.71"/>
    <n v="0.96"/>
    <n v="0"/>
    <n v="0.69"/>
    <n v="0.28999999999999998"/>
    <n v="0"/>
    <n v="0"/>
    <n v="0"/>
    <n v="0"/>
    <n v="0"/>
    <n v="0"/>
    <n v="1"/>
    <n v="0.71"/>
    <n v="0"/>
    <x v="2"/>
    <x v="2"/>
    <x v="1"/>
    <x v="1"/>
    <x v="1"/>
    <x v="3"/>
    <x v="2"/>
  </r>
  <r>
    <s v="/krs/270"/>
    <n v="270"/>
    <s v="02"/>
    <x v="1"/>
    <x v="10"/>
    <x v="25"/>
    <d v="2017-10-09T00:00:00"/>
    <x v="14"/>
    <x v="0"/>
    <s v="Природа Земли"/>
    <n v="502"/>
    <n v="486"/>
    <n v="988"/>
    <n v="0.51"/>
    <n v="26"/>
    <m/>
    <n v="9"/>
    <n v="26"/>
    <n v="3"/>
    <n v="3"/>
    <n v="0.6"/>
    <n v="0.51"/>
    <n v="0.65"/>
    <n v="0.71"/>
    <n v="0.35"/>
    <n v="0.49"/>
    <n v="26"/>
    <n v="13"/>
    <n v="3.6"/>
    <n v="1"/>
    <n v="0.72"/>
    <n v="0.5"/>
    <n v="0.28000000000000003"/>
    <n v="0.62"/>
    <n v="0"/>
    <x v="2"/>
    <x v="3"/>
    <x v="3"/>
    <x v="2"/>
    <x v="1"/>
    <x v="2"/>
    <x v="2"/>
  </r>
  <r>
    <s v="/krs/271"/>
    <n v="271"/>
    <s v="02"/>
    <x v="1"/>
    <x v="10"/>
    <x v="2"/>
    <d v="2017-10-09T00:00:00"/>
    <x v="14"/>
    <x v="0"/>
    <s v="Природа Земли"/>
    <n v="522"/>
    <n v="390"/>
    <n v="912"/>
    <n v="0.56999999999999995"/>
    <n v="24"/>
    <m/>
    <n v="10"/>
    <n v="24"/>
    <n v="3.3"/>
    <n v="3.4"/>
    <n v="0.68"/>
    <n v="0.56999999999999995"/>
    <n v="0.88"/>
    <n v="0.75"/>
    <n v="0.42"/>
    <n v="0.43"/>
    <n v="24"/>
    <n v="13"/>
    <n v="3.8"/>
    <n v="1"/>
    <n v="0.76"/>
    <n v="0.54"/>
    <n v="0.24"/>
    <n v="0.67"/>
    <n v="0"/>
    <x v="1"/>
    <x v="3"/>
    <x v="1"/>
    <x v="2"/>
    <x v="1"/>
    <x v="2"/>
    <x v="2"/>
  </r>
  <r>
    <s v="/krs/272"/>
    <n v="272"/>
    <s v="1"/>
    <x v="1"/>
    <x v="2"/>
    <x v="16"/>
    <d v="2017-10-04T00:00:00"/>
    <x v="23"/>
    <x v="0"/>
    <s v="Контрольная работа &quot;Натуральные числа&quot;"/>
    <n v="158"/>
    <n v="66"/>
    <n v="224"/>
    <n v="0.71"/>
    <n v="28"/>
    <m/>
    <n v="20"/>
    <n v="28"/>
    <n v="3.8"/>
    <n v="4"/>
    <n v="0.8"/>
    <n v="0.71"/>
    <n v="1"/>
    <n v="0"/>
    <n v="0.71"/>
    <n v="0.28999999999999998"/>
    <n v="0"/>
    <n v="0"/>
    <n v="0"/>
    <n v="0"/>
    <n v="0"/>
    <n v="0"/>
    <n v="1"/>
    <n v="0.73"/>
    <n v="0.65"/>
    <x v="2"/>
    <x v="2"/>
    <x v="1"/>
    <x v="1"/>
    <x v="1"/>
    <x v="3"/>
    <x v="2"/>
  </r>
  <r>
    <s v="/krs/273"/>
    <n v="273"/>
    <s v="2"/>
    <x v="1"/>
    <x v="2"/>
    <x v="16"/>
    <d v="2017-10-20T00:00:00"/>
    <x v="23"/>
    <x v="0"/>
    <s v="Контрольная работа &quot;Сложение и вычитание натуральных чисел. Числовые и буквенные выражения. Формулы&quot;"/>
    <n v="123"/>
    <n v="39"/>
    <n v="162"/>
    <n v="0.76"/>
    <n v="27"/>
    <m/>
    <n v="23"/>
    <n v="27"/>
    <n v="4"/>
    <n v="4.0999999999999996"/>
    <n v="0.81"/>
    <n v="0.76"/>
    <n v="0.93"/>
    <n v="0"/>
    <n v="0.85"/>
    <n v="0.24"/>
    <n v="0"/>
    <n v="0"/>
    <n v="0"/>
    <n v="0"/>
    <n v="0"/>
    <n v="0"/>
    <n v="1"/>
    <n v="0.76"/>
    <n v="0"/>
    <x v="2"/>
    <x v="2"/>
    <x v="1"/>
    <x v="1"/>
    <x v="1"/>
    <x v="3"/>
    <x v="2"/>
  </r>
  <r>
    <s v="/krs/274"/>
    <n v="274"/>
    <s v="2"/>
    <x v="1"/>
    <x v="2"/>
    <x v="21"/>
    <d v="2017-10-03T00:00:00"/>
    <x v="23"/>
    <x v="0"/>
    <s v="Контрольная работа по теме &quot;Обыкновенные дроби и проценты&quot;"/>
    <n v="93"/>
    <n v="171"/>
    <n v="264"/>
    <n v="0.35"/>
    <n v="24"/>
    <m/>
    <n v="6"/>
    <n v="24"/>
    <n v="2.5"/>
    <n v="2.6"/>
    <n v="0.53"/>
    <n v="0.35"/>
    <n v="0.38"/>
    <n v="0"/>
    <n v="0.25"/>
    <n v="0.65"/>
    <n v="0"/>
    <n v="0"/>
    <n v="0"/>
    <n v="0"/>
    <n v="0"/>
    <n v="0"/>
    <n v="1"/>
    <n v="0.52"/>
    <n v="0.18"/>
    <x v="1"/>
    <x v="3"/>
    <x v="2"/>
    <x v="1"/>
    <x v="1"/>
    <x v="3"/>
    <x v="2"/>
  </r>
  <r>
    <s v="/krs/275"/>
    <n v="275"/>
    <s v="3"/>
    <x v="1"/>
    <x v="2"/>
    <x v="21"/>
    <d v="2017-10-25T00:00:00"/>
    <x v="23"/>
    <x v="0"/>
    <s v="Контрольная работа по теме&quot;Десятичные дроби&quot;"/>
    <n v="259"/>
    <n v="77"/>
    <n v="336"/>
    <n v="0.77"/>
    <n v="24"/>
    <m/>
    <n v="18"/>
    <n v="24"/>
    <n v="4.0999999999999996"/>
    <n v="4"/>
    <n v="0.81"/>
    <n v="0.77"/>
    <n v="0.88"/>
    <n v="0"/>
    <n v="0.75"/>
    <n v="0.23"/>
    <n v="0"/>
    <n v="0"/>
    <n v="0"/>
    <n v="0"/>
    <n v="0"/>
    <n v="0"/>
    <n v="1"/>
    <n v="0.78"/>
    <n v="0.85"/>
    <x v="2"/>
    <x v="2"/>
    <x v="1"/>
    <x v="1"/>
    <x v="1"/>
    <x v="3"/>
    <x v="2"/>
  </r>
  <r>
    <s v="/krs/276"/>
    <n v="276"/>
    <s v="2"/>
    <x v="1"/>
    <x v="2"/>
    <x v="20"/>
    <d v="2017-09-29T00:00:00"/>
    <x v="23"/>
    <x v="0"/>
    <s v="Контрольная работа по теме &quot;Обыкновенные дроби и проценты&quot;"/>
    <n v="88"/>
    <n v="99"/>
    <n v="187"/>
    <n v="0.47"/>
    <n v="17"/>
    <m/>
    <n v="5"/>
    <n v="17"/>
    <n v="2.9"/>
    <n v="3.1"/>
    <n v="0.61"/>
    <n v="0.47"/>
    <n v="0.76"/>
    <n v="0"/>
    <n v="0.28999999999999998"/>
    <n v="0.53"/>
    <n v="0"/>
    <n v="0"/>
    <n v="0"/>
    <n v="0"/>
    <n v="0"/>
    <n v="0"/>
    <n v="1"/>
    <n v="0.64"/>
    <n v="0.31"/>
    <x v="1"/>
    <x v="3"/>
    <x v="1"/>
    <x v="1"/>
    <x v="1"/>
    <x v="3"/>
    <x v="2"/>
  </r>
  <r>
    <s v="/krs/277"/>
    <n v="277"/>
    <s v="3"/>
    <x v="1"/>
    <x v="2"/>
    <x v="20"/>
    <d v="2017-10-24T00:00:00"/>
    <x v="23"/>
    <x v="0"/>
    <s v="Контрольная работа на тему &quot;Десятичные дроби&quot;"/>
    <n v="182"/>
    <n v="52"/>
    <n v="234"/>
    <n v="0.78"/>
    <n v="18"/>
    <m/>
    <n v="14"/>
    <n v="18"/>
    <n v="4.0999999999999996"/>
    <n v="4.0999999999999996"/>
    <n v="0.81"/>
    <n v="0.78"/>
    <n v="0.94"/>
    <n v="0"/>
    <n v="0.78"/>
    <n v="0.22"/>
    <n v="0"/>
    <n v="0"/>
    <n v="0"/>
    <n v="0"/>
    <n v="0"/>
    <n v="0"/>
    <n v="1"/>
    <n v="0.85"/>
    <n v="0.65"/>
    <x v="2"/>
    <x v="2"/>
    <x v="1"/>
    <x v="1"/>
    <x v="1"/>
    <x v="3"/>
    <x v="2"/>
  </r>
  <r>
    <s v="/krs/278"/>
    <n v="278"/>
    <s v="02"/>
    <x v="1"/>
    <x v="7"/>
    <x v="11"/>
    <d v="2017-10-20T00:00:00"/>
    <x v="10"/>
    <x v="0"/>
    <m/>
    <n v="87"/>
    <n v="53"/>
    <n v="140"/>
    <n v="0.62"/>
    <n v="14"/>
    <m/>
    <n v="6"/>
    <n v="14"/>
    <n v="3.5"/>
    <n v="3.4"/>
    <n v="0.69"/>
    <n v="0.62"/>
    <n v="0.93"/>
    <n v="0"/>
    <n v="0.43"/>
    <n v="0.38"/>
    <n v="0"/>
    <n v="0"/>
    <n v="0"/>
    <n v="0"/>
    <n v="0"/>
    <n v="0"/>
    <n v="1"/>
    <n v="0.63"/>
    <n v="0"/>
    <x v="2"/>
    <x v="1"/>
    <x v="1"/>
    <x v="1"/>
    <x v="1"/>
    <x v="3"/>
    <x v="2"/>
  </r>
  <r>
    <s v="/krs/279"/>
    <n v="279"/>
    <s v="2"/>
    <x v="1"/>
    <x v="2"/>
    <x v="30"/>
    <d v="2017-11-15T13:29:42"/>
    <x v="25"/>
    <x v="0"/>
    <m/>
    <n v="193"/>
    <n v="54"/>
    <n v="247"/>
    <n v="0.78"/>
    <n v="19"/>
    <m/>
    <n v="0"/>
    <n v="19"/>
    <n v="4.0999999999999996"/>
    <n v="1"/>
    <n v="0.2"/>
    <n v="0.78"/>
    <n v="0"/>
    <n v="0"/>
    <n v="0"/>
    <n v="0.22"/>
    <n v="0"/>
    <n v="0"/>
    <n v="0"/>
    <n v="0"/>
    <n v="0"/>
    <n v="0"/>
    <n v="1"/>
    <n v="0.79"/>
    <n v="0"/>
    <x v="1"/>
    <x v="2"/>
    <x v="2"/>
    <x v="1"/>
    <x v="2"/>
    <x v="3"/>
    <x v="2"/>
  </r>
  <r>
    <s v="/krs/280"/>
    <n v="280"/>
    <s v="3"/>
    <x v="1"/>
    <x v="2"/>
    <x v="18"/>
    <d v="2017-11-20T12:07:54"/>
    <x v="2"/>
    <x v="0"/>
    <s v="Квадратичная функция"/>
    <n v="559"/>
    <n v="379"/>
    <n v="938"/>
    <n v="0.6"/>
    <n v="67"/>
    <m/>
    <n v="30"/>
    <n v="67"/>
    <n v="3.4"/>
    <n v="3.4"/>
    <n v="0.67"/>
    <n v="0.6"/>
    <n v="0.9"/>
    <n v="0.86"/>
    <n v="0.45"/>
    <n v="0.4"/>
    <n v="67"/>
    <n v="28"/>
    <n v="3.5"/>
    <n v="0.82"/>
    <n v="0.7"/>
    <n v="0.42"/>
    <n v="0.3"/>
    <n v="0.59"/>
    <n v="0"/>
    <x v="2"/>
    <x v="1"/>
    <x v="1"/>
    <x v="3"/>
    <x v="2"/>
    <x v="2"/>
    <x v="2"/>
  </r>
  <r>
    <s v="/krs/281"/>
    <n v="281"/>
    <s v="01"/>
    <x v="1"/>
    <x v="7"/>
    <x v="12"/>
    <d v="2017-11-15T00:00:00"/>
    <x v="10"/>
    <x v="0"/>
    <s v="Тема &quot;Углеводороды&quot;"/>
    <n v="175"/>
    <n v="140"/>
    <n v="315"/>
    <n v="0.56000000000000005"/>
    <n v="15"/>
    <m/>
    <n v="8"/>
    <n v="15"/>
    <n v="3.3"/>
    <n v="3.4"/>
    <n v="0.68"/>
    <n v="0.56000000000000005"/>
    <n v="0.8"/>
    <n v="0"/>
    <n v="0.53"/>
    <n v="0.44"/>
    <n v="0"/>
    <n v="0"/>
    <n v="0"/>
    <n v="0"/>
    <n v="0"/>
    <n v="0"/>
    <n v="1"/>
    <n v="0.55000000000000004"/>
    <n v="0"/>
    <x v="1"/>
    <x v="3"/>
    <x v="1"/>
    <x v="1"/>
    <x v="1"/>
    <x v="3"/>
    <x v="2"/>
  </r>
  <r>
    <s v="/krs/283"/>
    <n v="283"/>
    <s v="01"/>
    <x v="1"/>
    <x v="7"/>
    <x v="41"/>
    <d v="2017-11-15T00:00:00"/>
    <x v="10"/>
    <x v="0"/>
    <s v="&quot;Углеводороды&quot;"/>
    <n v="133"/>
    <n v="98"/>
    <n v="231"/>
    <n v="0.57999999999999996"/>
    <n v="11"/>
    <m/>
    <n v="5"/>
    <n v="11"/>
    <n v="3.3"/>
    <n v="3.4"/>
    <n v="0.67"/>
    <n v="0.57999999999999996"/>
    <n v="0.91"/>
    <n v="0"/>
    <n v="0.45"/>
    <n v="0.42"/>
    <n v="0"/>
    <n v="0"/>
    <n v="0"/>
    <n v="0"/>
    <n v="0"/>
    <n v="0"/>
    <n v="1"/>
    <n v="0.56999999999999995"/>
    <n v="0"/>
    <x v="2"/>
    <x v="3"/>
    <x v="1"/>
    <x v="1"/>
    <x v="1"/>
    <x v="3"/>
    <x v="2"/>
  </r>
  <r>
    <s v="/krs/284"/>
    <n v="284"/>
    <s v="01"/>
    <x v="1"/>
    <x v="7"/>
    <x v="26"/>
    <d v="2017-11-15T00:00:00"/>
    <x v="10"/>
    <x v="0"/>
    <s v="&quot;Углеводороды&quot;"/>
    <n v="166"/>
    <n v="86"/>
    <n v="252"/>
    <n v="0.66"/>
    <n v="12"/>
    <m/>
    <n v="8"/>
    <n v="12"/>
    <n v="3.7"/>
    <n v="3.7"/>
    <n v="0.73"/>
    <n v="0.66"/>
    <n v="0.92"/>
    <n v="0"/>
    <n v="0.67"/>
    <n v="0.34"/>
    <n v="0"/>
    <n v="0"/>
    <n v="0"/>
    <n v="0"/>
    <n v="0"/>
    <n v="0"/>
    <n v="1"/>
    <n v="0.65"/>
    <n v="0"/>
    <x v="2"/>
    <x v="1"/>
    <x v="1"/>
    <x v="1"/>
    <x v="1"/>
    <x v="3"/>
    <x v="2"/>
  </r>
  <r>
    <s v="/krs/285"/>
    <n v="285"/>
    <s v="1"/>
    <x v="3"/>
    <x v="6"/>
    <x v="20"/>
    <d v="2017-11-22T09:59:58"/>
    <x v="26"/>
    <x v="3"/>
    <m/>
    <n v="112"/>
    <n v="168"/>
    <n v="280"/>
    <n v="0.4"/>
    <n v="14"/>
    <m/>
    <n v="1"/>
    <n v="14"/>
    <n v="2.6"/>
    <n v="2.7"/>
    <n v="0.54"/>
    <n v="0.4"/>
    <n v="0.64"/>
    <n v="0.48"/>
    <n v="7.0000000000000007E-2"/>
    <n v="0.6"/>
    <n v="14"/>
    <n v="11"/>
    <n v="4.0999999999999996"/>
    <n v="1"/>
    <n v="0.83"/>
    <n v="0.79"/>
    <n v="0.17"/>
    <n v="0.46"/>
    <n v="0"/>
    <x v="1"/>
    <x v="3"/>
    <x v="3"/>
    <x v="2"/>
    <x v="1"/>
    <x v="2"/>
    <x v="2"/>
  </r>
  <r>
    <s v="/krs/286"/>
    <n v="286"/>
    <s v="01"/>
    <x v="3"/>
    <x v="12"/>
    <x v="20"/>
    <d v="2017-11-22T13:52:12"/>
    <x v="11"/>
    <x v="0"/>
    <m/>
    <n v="184"/>
    <n v="54"/>
    <n v="238"/>
    <n v="0.77"/>
    <n v="17"/>
    <m/>
    <n v="17"/>
    <n v="17"/>
    <n v="4.0999999999999996"/>
    <n v="4.0999999999999996"/>
    <n v="0.82"/>
    <n v="0.77"/>
    <n v="1"/>
    <n v="0.93"/>
    <n v="1"/>
    <n v="0.23"/>
    <n v="17"/>
    <n v="15"/>
    <n v="4.0999999999999996"/>
    <n v="1"/>
    <n v="0.83"/>
    <n v="0.88"/>
    <n v="0.17"/>
    <n v="0.78"/>
    <n v="0.74"/>
    <x v="2"/>
    <x v="2"/>
    <x v="1"/>
    <x v="3"/>
    <x v="1"/>
    <x v="1"/>
    <x v="1"/>
  </r>
  <r>
    <s v="/krs/287"/>
    <n v="287"/>
    <s v="01"/>
    <x v="3"/>
    <x v="10"/>
    <x v="20"/>
    <d v="2017-11-16T00:00:00"/>
    <x v="27"/>
    <x v="0"/>
    <m/>
    <n v="304"/>
    <n v="121"/>
    <n v="425"/>
    <n v="0.72"/>
    <n v="17"/>
    <m/>
    <n v="11"/>
    <n v="17"/>
    <n v="3.9"/>
    <n v="3.8"/>
    <n v="0.76"/>
    <n v="0.72"/>
    <n v="0.94"/>
    <n v="0.95"/>
    <n v="0.65"/>
    <n v="0.28000000000000003"/>
    <n v="16"/>
    <n v="8"/>
    <n v="3.8"/>
    <n v="0.94"/>
    <n v="0.76"/>
    <n v="0.5"/>
    <n v="0.24"/>
    <n v="0.71"/>
    <n v="0"/>
    <x v="2"/>
    <x v="2"/>
    <x v="1"/>
    <x v="1"/>
    <x v="1"/>
    <x v="3"/>
    <x v="1"/>
  </r>
  <r>
    <s v="/krs/290"/>
    <n v="290"/>
    <s v="2"/>
    <x v="1"/>
    <x v="2"/>
    <x v="30"/>
    <d v="2017-10-06T00:00:00"/>
    <x v="25"/>
    <x v="0"/>
    <m/>
    <m/>
    <m/>
    <m/>
    <m/>
    <m/>
    <m/>
    <m/>
    <m/>
    <m/>
    <m/>
    <m/>
    <m/>
    <m/>
    <m/>
    <m/>
    <m/>
    <m/>
    <m/>
    <m/>
    <m/>
    <m/>
    <m/>
    <m/>
    <m/>
    <m/>
    <x v="0"/>
    <x v="0"/>
    <x v="0"/>
    <x v="0"/>
    <x v="0"/>
    <x v="0"/>
    <x v="0"/>
  </r>
  <r>
    <s v="/krs/291"/>
    <n v="291"/>
    <s v="1"/>
    <x v="1"/>
    <x v="3"/>
    <x v="16"/>
    <d v="2017-11-25T09:47:22"/>
    <x v="27"/>
    <x v="0"/>
    <s v="КР по теме &quot;Клетки и ткани&quot;"/>
    <n v="447"/>
    <n v="201"/>
    <n v="648"/>
    <n v="0.69"/>
    <n v="27"/>
    <m/>
    <n v="17"/>
    <n v="27"/>
    <n v="3.8"/>
    <n v="3.8"/>
    <n v="0.76"/>
    <n v="0.69"/>
    <n v="0.96"/>
    <n v="0.91"/>
    <n v="0.63"/>
    <n v="0.31"/>
    <n v="27"/>
    <n v="14"/>
    <n v="3.8"/>
    <n v="1"/>
    <n v="0.76"/>
    <n v="0.52"/>
    <n v="0.24"/>
    <n v="0.7"/>
    <n v="0"/>
    <x v="2"/>
    <x v="1"/>
    <x v="1"/>
    <x v="3"/>
    <x v="1"/>
    <x v="1"/>
    <x v="1"/>
  </r>
  <r>
    <s v="/krs/292"/>
    <n v="292"/>
    <s v="4"/>
    <x v="1"/>
    <x v="2"/>
    <x v="30"/>
    <d v="2017-11-23T00:00:00"/>
    <x v="25"/>
    <x v="0"/>
    <m/>
    <n v="97"/>
    <n v="56"/>
    <n v="153"/>
    <n v="0.63"/>
    <n v="17"/>
    <m/>
    <n v="12"/>
    <n v="17"/>
    <n v="3.6"/>
    <n v="3.6"/>
    <n v="0.73"/>
    <n v="0.63"/>
    <n v="0.82"/>
    <n v="0"/>
    <n v="0.71"/>
    <n v="0.37"/>
    <n v="0"/>
    <n v="0"/>
    <n v="0"/>
    <n v="0"/>
    <n v="0"/>
    <n v="0"/>
    <n v="1"/>
    <n v="0.65"/>
    <n v="0"/>
    <x v="1"/>
    <x v="1"/>
    <x v="1"/>
    <x v="1"/>
    <x v="1"/>
    <x v="3"/>
    <x v="2"/>
  </r>
  <r>
    <s v="/krs/293"/>
    <n v="293"/>
    <s v="1"/>
    <x v="1"/>
    <x v="11"/>
    <x v="42"/>
    <d v="2017-11-23T00:00:00"/>
    <x v="17"/>
    <x v="0"/>
    <s v="Контрольная работа №1 &quot;Математические основы информатики&quot;"/>
    <n v="183"/>
    <n v="132"/>
    <n v="315"/>
    <n v="0.57999999999999996"/>
    <n v="21"/>
    <m/>
    <n v="10"/>
    <n v="21"/>
    <n v="3.3"/>
    <n v="3.3"/>
    <n v="0.67"/>
    <n v="0.57999999999999996"/>
    <n v="0.81"/>
    <n v="0.74"/>
    <n v="0.48"/>
    <n v="0.42"/>
    <n v="21"/>
    <n v="14"/>
    <n v="3.9"/>
    <n v="0.95"/>
    <n v="0.78"/>
    <n v="0.67"/>
    <n v="0.22"/>
    <n v="0.57999999999999996"/>
    <n v="0"/>
    <x v="2"/>
    <x v="3"/>
    <x v="1"/>
    <x v="2"/>
    <x v="1"/>
    <x v="2"/>
    <x v="2"/>
  </r>
  <r>
    <s v="/krs/294"/>
    <n v="294"/>
    <s v="3"/>
    <x v="1"/>
    <x v="2"/>
    <x v="19"/>
    <d v="2017-11-26T17:40:24"/>
    <x v="2"/>
    <x v="0"/>
    <s v="Введение в алгебру"/>
    <n v="111"/>
    <n v="189"/>
    <n v="300"/>
    <n v="0.37"/>
    <n v="25"/>
    <m/>
    <n v="5"/>
    <n v="25"/>
    <n v="2.6"/>
    <n v="2.6"/>
    <n v="0.53"/>
    <n v="0.37"/>
    <n v="0.52"/>
    <n v="0.59"/>
    <n v="0.2"/>
    <n v="0.63"/>
    <n v="22"/>
    <n v="4"/>
    <n v="3.2"/>
    <n v="0.73"/>
    <n v="0.63"/>
    <n v="0.18"/>
    <n v="0.37"/>
    <n v="0.37"/>
    <n v="0"/>
    <x v="1"/>
    <x v="3"/>
    <x v="3"/>
    <x v="2"/>
    <x v="2"/>
    <x v="2"/>
    <x v="2"/>
  </r>
  <r>
    <s v="/krs/295"/>
    <n v="295"/>
    <s v="01"/>
    <x v="1"/>
    <x v="3"/>
    <x v="34"/>
    <d v="2017-11-10T00:00:00"/>
    <x v="14"/>
    <x v="0"/>
    <s v="Строение клетки"/>
    <n v="472"/>
    <n v="230"/>
    <n v="702"/>
    <n v="0.67"/>
    <n v="27"/>
    <m/>
    <n v="14"/>
    <n v="27"/>
    <n v="3.7"/>
    <n v="3.4"/>
    <n v="0.68"/>
    <n v="0.67"/>
    <n v="0.89"/>
    <n v="0.88"/>
    <n v="0.52"/>
    <n v="0.33"/>
    <n v="27"/>
    <n v="16"/>
    <n v="3.8"/>
    <n v="1"/>
    <n v="0.76"/>
    <n v="0.59"/>
    <n v="0.24"/>
    <n v="0.7"/>
    <n v="0.56999999999999995"/>
    <x v="2"/>
    <x v="1"/>
    <x v="1"/>
    <x v="3"/>
    <x v="2"/>
    <x v="1"/>
    <x v="2"/>
  </r>
  <r>
    <s v="/krs/296"/>
    <n v="296"/>
    <s v="01."/>
    <x v="1"/>
    <x v="10"/>
    <x v="31"/>
    <d v="2017-10-20T00:00:00"/>
    <x v="14"/>
    <x v="0"/>
    <s v="Политическая карта мира"/>
    <n v="497"/>
    <n v="196"/>
    <n v="693"/>
    <n v="0.72"/>
    <n v="21"/>
    <m/>
    <n v="19"/>
    <n v="21"/>
    <n v="3.9"/>
    <n v="3.9"/>
    <n v="0.77"/>
    <n v="0.72"/>
    <n v="0.95"/>
    <n v="0.94"/>
    <n v="0.9"/>
    <n v="0.28000000000000003"/>
    <n v="20"/>
    <n v="12"/>
    <n v="3.8"/>
    <n v="1"/>
    <n v="0.77"/>
    <n v="0.6"/>
    <n v="0.23"/>
    <n v="0.78"/>
    <n v="0"/>
    <x v="2"/>
    <x v="2"/>
    <x v="1"/>
    <x v="1"/>
    <x v="1"/>
    <x v="1"/>
    <x v="1"/>
  </r>
  <r>
    <s v="/krs/297"/>
    <n v="297"/>
    <s v="2"/>
    <x v="1"/>
    <x v="4"/>
    <x v="43"/>
    <d v="2017-11-25T00:00:00"/>
    <x v="4"/>
    <x v="0"/>
    <s v="Движение, взаимодействие, масса"/>
    <n v="446"/>
    <n v="314"/>
    <n v="760"/>
    <n v="0.59"/>
    <n v="76"/>
    <m/>
    <n v="22"/>
    <n v="76"/>
    <n v="3.4"/>
    <n v="3.3"/>
    <n v="0.65"/>
    <n v="0.59"/>
    <n v="0.89"/>
    <n v="0.88"/>
    <n v="0.28999999999999998"/>
    <n v="0.41"/>
    <n v="76"/>
    <n v="16"/>
    <n v="3.4"/>
    <n v="0.89"/>
    <n v="0.67"/>
    <n v="0.21"/>
    <n v="0.33"/>
    <n v="0.64"/>
    <n v="0"/>
    <x v="2"/>
    <x v="3"/>
    <x v="1"/>
    <x v="3"/>
    <x v="2"/>
    <x v="1"/>
    <x v="2"/>
  </r>
  <r>
    <s v="/krs/298"/>
    <n v="298"/>
    <s v="2"/>
    <x v="1"/>
    <x v="4"/>
    <x v="2"/>
    <d v="2017-11-18T00:00:00"/>
    <x v="4"/>
    <x v="0"/>
    <s v="Движение, взаимодействие, масса"/>
    <n v="140"/>
    <n v="85"/>
    <n v="225"/>
    <n v="0.62"/>
    <n v="25"/>
    <m/>
    <n v="12"/>
    <n v="25"/>
    <n v="3.5"/>
    <n v="3.4"/>
    <n v="0.69"/>
    <n v="0.62"/>
    <n v="0.84"/>
    <n v="0.86"/>
    <n v="0.48"/>
    <n v="0.38"/>
    <n v="25"/>
    <n v="7"/>
    <n v="3.6"/>
    <n v="1"/>
    <n v="0.72"/>
    <n v="0.28000000000000003"/>
    <n v="0.28000000000000003"/>
    <n v="0.96"/>
    <n v="0.45"/>
    <x v="2"/>
    <x v="1"/>
    <x v="1"/>
    <x v="3"/>
    <x v="1"/>
    <x v="2"/>
    <x v="2"/>
  </r>
  <r>
    <s v="/krs/300"/>
    <n v="300"/>
    <s v="02"/>
    <x v="1"/>
    <x v="7"/>
    <x v="3"/>
    <d v="2017-12-09T00:00:00"/>
    <x v="10"/>
    <x v="0"/>
    <s v="Контрольная работа по итогам изучения темы &quot;Металлы&quot;"/>
    <n v="282"/>
    <n v="246"/>
    <n v="528"/>
    <n v="0.53"/>
    <n v="22"/>
    <m/>
    <n v="4"/>
    <n v="22"/>
    <n v="3.1"/>
    <n v="3.1"/>
    <n v="0.62"/>
    <n v="0.53"/>
    <n v="0.86"/>
    <n v="0"/>
    <n v="0.18"/>
    <n v="0.47"/>
    <n v="0"/>
    <n v="0"/>
    <n v="0"/>
    <n v="0"/>
    <n v="0"/>
    <n v="0"/>
    <n v="1"/>
    <n v="0.61"/>
    <n v="0"/>
    <x v="2"/>
    <x v="3"/>
    <x v="1"/>
    <x v="1"/>
    <x v="1"/>
    <x v="3"/>
    <x v="2"/>
  </r>
  <r>
    <s v="/krs/301"/>
    <n v="301"/>
    <s v="02"/>
    <x v="1"/>
    <x v="7"/>
    <x v="14"/>
    <d v="2017-12-12T00:00:00"/>
    <x v="10"/>
    <x v="0"/>
    <s v="Тема &quot;Металлы&quot;"/>
    <n v="236"/>
    <n v="364"/>
    <n v="600"/>
    <n v="0.39"/>
    <n v="25"/>
    <m/>
    <n v="3"/>
    <n v="25"/>
    <n v="2.7"/>
    <n v="2.6"/>
    <n v="0.51"/>
    <n v="0.39"/>
    <n v="0.6"/>
    <n v="0"/>
    <n v="0.12"/>
    <n v="0.61"/>
    <n v="0"/>
    <n v="0"/>
    <n v="0"/>
    <n v="0"/>
    <n v="0"/>
    <n v="0"/>
    <n v="1"/>
    <n v="0.47"/>
    <n v="0.21"/>
    <x v="1"/>
    <x v="3"/>
    <x v="3"/>
    <x v="1"/>
    <x v="1"/>
    <x v="3"/>
    <x v="2"/>
  </r>
  <r>
    <s v="/krs/302"/>
    <n v="302"/>
    <s v="02"/>
    <x v="1"/>
    <x v="7"/>
    <x v="23"/>
    <d v="2017-12-14T00:00:00"/>
    <x v="10"/>
    <x v="0"/>
    <s v="Тема &quot;Металлы&quot;"/>
    <n v="378"/>
    <n v="198"/>
    <n v="576"/>
    <n v="0.66"/>
    <n v="24"/>
    <m/>
    <n v="12"/>
    <n v="24"/>
    <n v="3.7"/>
    <n v="3.6"/>
    <n v="0.72"/>
    <n v="0.66"/>
    <n v="0.96"/>
    <n v="0"/>
    <n v="0.5"/>
    <n v="0.34"/>
    <n v="0"/>
    <n v="0"/>
    <n v="0"/>
    <n v="0"/>
    <n v="0"/>
    <n v="0"/>
    <n v="1"/>
    <n v="0.8"/>
    <n v="0.37"/>
    <x v="2"/>
    <x v="1"/>
    <x v="1"/>
    <x v="1"/>
    <x v="1"/>
    <x v="3"/>
    <x v="2"/>
  </r>
  <r>
    <s v="/krs/303"/>
    <n v="303"/>
    <s v="1"/>
    <x v="1"/>
    <x v="11"/>
    <x v="44"/>
    <d v="2017-12-11T10:34:32"/>
    <x v="17"/>
    <x v="0"/>
    <m/>
    <n v="268"/>
    <n v="232"/>
    <n v="500"/>
    <n v="0.54"/>
    <n v="50"/>
    <m/>
    <n v="17"/>
    <n v="50"/>
    <n v="3.2"/>
    <n v="3"/>
    <n v="0.6"/>
    <n v="0.54"/>
    <n v="0.68"/>
    <n v="0.7"/>
    <n v="0.34"/>
    <n v="0.46"/>
    <n v="39"/>
    <n v="28"/>
    <n v="3.8"/>
    <n v="1"/>
    <n v="0.77"/>
    <n v="0.72"/>
    <n v="0.23"/>
    <n v="0.54"/>
    <n v="0"/>
    <x v="2"/>
    <x v="3"/>
    <x v="3"/>
    <x v="2"/>
    <x v="1"/>
    <x v="2"/>
    <x v="2"/>
  </r>
  <r>
    <s v="/krs/304"/>
    <n v="304"/>
    <s v="1"/>
    <x v="1"/>
    <x v="11"/>
    <x v="9"/>
    <d v="2017-12-11T11:31:03"/>
    <x v="28"/>
    <x v="0"/>
    <s v="Математические основы информатики"/>
    <m/>
    <m/>
    <m/>
    <m/>
    <m/>
    <m/>
    <m/>
    <m/>
    <m/>
    <m/>
    <m/>
    <m/>
    <m/>
    <m/>
    <m/>
    <m/>
    <m/>
    <m/>
    <m/>
    <m/>
    <m/>
    <m/>
    <m/>
    <m/>
    <m/>
    <x v="0"/>
    <x v="0"/>
    <x v="0"/>
    <x v="0"/>
    <x v="0"/>
    <x v="0"/>
    <x v="0"/>
  </r>
  <r>
    <s v="/krs/306"/>
    <n v="306"/>
    <s v="1"/>
    <x v="1"/>
    <x v="11"/>
    <x v="45"/>
    <d v="2017-12-15T10:11:54"/>
    <x v="28"/>
    <x v="0"/>
    <s v="Математические основы информатики"/>
    <n v="216"/>
    <n v="124"/>
    <n v="340"/>
    <n v="0.64"/>
    <n v="34"/>
    <m/>
    <n v="16"/>
    <n v="34"/>
    <n v="3.5"/>
    <n v="3.5"/>
    <n v="0.7"/>
    <n v="0.64"/>
    <n v="0.79"/>
    <n v="0.83"/>
    <n v="0.47"/>
    <n v="0.36"/>
    <n v="34"/>
    <n v="19"/>
    <n v="3.8"/>
    <n v="0.94"/>
    <n v="0.77"/>
    <n v="0.56000000000000005"/>
    <n v="0.23"/>
    <n v="0.64"/>
    <n v="0"/>
    <x v="2"/>
    <x v="1"/>
    <x v="1"/>
    <x v="2"/>
    <x v="2"/>
    <x v="2"/>
    <x v="2"/>
  </r>
  <r>
    <s v="/krs/307"/>
    <n v="307"/>
    <s v="01"/>
    <x v="3"/>
    <x v="1"/>
    <x v="46"/>
    <d v="2017-12-18T00:00:00"/>
    <x v="1"/>
    <x v="1"/>
    <m/>
    <n v="1429"/>
    <n v="543"/>
    <n v="1972"/>
    <n v="0.72"/>
    <n v="34"/>
    <m/>
    <n v="21"/>
    <n v="34"/>
    <n v="3.5"/>
    <n v="3.7"/>
    <n v="0.75"/>
    <n v="0.72"/>
    <n v="1"/>
    <n v="0.99"/>
    <n v="0.62"/>
    <n v="0.28000000000000003"/>
    <n v="34"/>
    <n v="17"/>
    <n v="3.6"/>
    <n v="0.91"/>
    <n v="0.73"/>
    <n v="0.5"/>
    <n v="0.27"/>
    <n v="0.8"/>
    <n v="0.76"/>
    <x v="2"/>
    <x v="2"/>
    <x v="1"/>
    <x v="1"/>
    <x v="1"/>
    <x v="3"/>
    <x v="1"/>
  </r>
  <r>
    <s v="/krs/309"/>
    <n v="309"/>
    <s v="01"/>
    <x v="3"/>
    <x v="1"/>
    <x v="18"/>
    <d v="2017-12-18T23:21:56"/>
    <x v="1"/>
    <x v="1"/>
    <m/>
    <n v="1446"/>
    <n v="465"/>
    <n v="1911"/>
    <n v="0.76"/>
    <n v="49"/>
    <m/>
    <n v="40"/>
    <n v="49"/>
    <n v="3.7"/>
    <n v="3.9"/>
    <n v="0.78"/>
    <n v="0.76"/>
    <n v="1"/>
    <n v="1.03"/>
    <n v="0.82"/>
    <n v="0.24"/>
    <n v="49"/>
    <n v="31"/>
    <n v="3.7"/>
    <n v="0.94"/>
    <n v="0.74"/>
    <n v="0.63"/>
    <n v="0.26"/>
    <n v="0.84"/>
    <n v="0.71"/>
    <x v="2"/>
    <x v="2"/>
    <x v="1"/>
    <x v="1"/>
    <x v="1"/>
    <x v="3"/>
    <x v="1"/>
  </r>
  <r>
    <s v="/krs/310"/>
    <n v="310"/>
    <s v="Пробный ОГЭ 1"/>
    <x v="2"/>
    <x v="10"/>
    <x v="18"/>
    <d v="2017-12-20T00:00:00"/>
    <x v="27"/>
    <x v="0"/>
    <m/>
    <m/>
    <m/>
    <m/>
    <m/>
    <m/>
    <m/>
    <m/>
    <m/>
    <m/>
    <m/>
    <m/>
    <m/>
    <m/>
    <m/>
    <m/>
    <m/>
    <m/>
    <m/>
    <m/>
    <m/>
    <m/>
    <m/>
    <m/>
    <m/>
    <m/>
    <x v="0"/>
    <x v="0"/>
    <x v="0"/>
    <x v="0"/>
    <x v="0"/>
    <x v="0"/>
    <x v="0"/>
  </r>
  <r>
    <s v="/krs/311"/>
    <n v="311"/>
    <s v="3"/>
    <x v="2"/>
    <x v="6"/>
    <x v="13"/>
    <d v="2017-12-25T13:24:32"/>
    <x v="6"/>
    <x v="1"/>
    <s v="экзаменационная работа"/>
    <n v="463"/>
    <n v="279"/>
    <n v="742"/>
    <n v="0.62"/>
    <n v="14"/>
    <m/>
    <n v="5"/>
    <n v="14"/>
    <n v="3.5"/>
    <n v="3.5"/>
    <n v="0.7"/>
    <n v="0.62"/>
    <n v="1"/>
    <n v="0.87"/>
    <n v="0.36"/>
    <n v="0.38"/>
    <n v="14"/>
    <n v="5"/>
    <n v="3.6"/>
    <n v="0.86"/>
    <n v="0.71"/>
    <n v="0.36"/>
    <n v="0.28999999999999998"/>
    <n v="0.74"/>
    <n v="0.53"/>
    <x v="2"/>
    <x v="1"/>
    <x v="1"/>
    <x v="3"/>
    <x v="2"/>
    <x v="1"/>
    <x v="2"/>
  </r>
  <r>
    <s v="/krs/314"/>
    <n v="314"/>
    <s v="Пробный ЕГЭ"/>
    <x v="2"/>
    <x v="4"/>
    <x v="46"/>
    <d v="2017-12-21T00:00:00"/>
    <x v="4"/>
    <x v="1"/>
    <s v="КИМ ЕГЭ 2017"/>
    <n v="182"/>
    <n v="178"/>
    <n v="360"/>
    <n v="0.51"/>
    <n v="12"/>
    <m/>
    <n v="3"/>
    <n v="12"/>
    <n v="3"/>
    <n v="3"/>
    <n v="0.6"/>
    <n v="0.51"/>
    <n v="0.75"/>
    <n v="0.73"/>
    <n v="0.25"/>
    <n v="0.49"/>
    <n v="12"/>
    <n v="4"/>
    <n v="3.5"/>
    <n v="1"/>
    <n v="0.7"/>
    <n v="0.33"/>
    <n v="0.3"/>
    <n v="0.54"/>
    <n v="0"/>
    <x v="2"/>
    <x v="3"/>
    <x v="1"/>
    <x v="2"/>
    <x v="2"/>
    <x v="2"/>
    <x v="2"/>
  </r>
  <r>
    <s v="/krs/318"/>
    <n v="318"/>
    <s v="001"/>
    <x v="2"/>
    <x v="7"/>
    <x v="15"/>
    <d v="2017-12-28T10:59:43"/>
    <x v="10"/>
    <x v="0"/>
    <s v="экзаменационная работа за курс органической и неорганической химии"/>
    <n v="693"/>
    <n v="333"/>
    <n v="1026"/>
    <n v="0.68"/>
    <n v="18"/>
    <m/>
    <n v="11"/>
    <n v="18"/>
    <n v="3.7"/>
    <n v="3.7"/>
    <n v="0.74"/>
    <n v="0.68"/>
    <n v="0.94"/>
    <n v="0"/>
    <n v="0.61"/>
    <n v="0.32"/>
    <n v="0"/>
    <n v="0"/>
    <n v="0"/>
    <n v="0"/>
    <n v="0"/>
    <n v="0"/>
    <n v="1"/>
    <n v="0.71"/>
    <n v="0.69"/>
    <x v="2"/>
    <x v="1"/>
    <x v="1"/>
    <x v="1"/>
    <x v="1"/>
    <x v="3"/>
    <x v="2"/>
  </r>
  <r>
    <s v="/krs/319"/>
    <n v="319"/>
    <s v="01"/>
    <x v="2"/>
    <x v="7"/>
    <x v="18"/>
    <d v="2017-12-28T12:48:16"/>
    <x v="10"/>
    <x v="0"/>
    <s v="экзаменационная работа"/>
    <n v="220"/>
    <n v="185"/>
    <n v="405"/>
    <n v="0.54"/>
    <n v="15"/>
    <m/>
    <n v="5"/>
    <n v="15"/>
    <n v="3.2"/>
    <n v="3.1"/>
    <n v="0.61"/>
    <n v="0.54"/>
    <n v="0.67"/>
    <n v="0"/>
    <n v="0.33"/>
    <n v="0.46"/>
    <n v="0"/>
    <n v="0"/>
    <n v="0"/>
    <n v="0"/>
    <n v="0"/>
    <n v="0"/>
    <n v="1"/>
    <n v="0.53"/>
    <n v="0"/>
    <x v="2"/>
    <x v="3"/>
    <x v="3"/>
    <x v="1"/>
    <x v="1"/>
    <x v="3"/>
    <x v="2"/>
  </r>
  <r>
    <s v="/krs/323"/>
    <n v="323"/>
    <s v="1"/>
    <x v="2"/>
    <x v="3"/>
    <x v="15"/>
    <d v="2017-12-26T00:00:00"/>
    <x v="21"/>
    <x v="0"/>
    <s v="Пробный экзамен"/>
    <n v="875"/>
    <n v="187"/>
    <n v="1062"/>
    <n v="0.82"/>
    <n v="18"/>
    <m/>
    <n v="17"/>
    <n v="18"/>
    <n v="4.3"/>
    <n v="4.4000000000000004"/>
    <n v="0.89"/>
    <n v="0.82"/>
    <n v="1"/>
    <n v="0.94"/>
    <n v="0.94"/>
    <n v="0.18"/>
    <n v="18"/>
    <n v="14"/>
    <n v="4.3"/>
    <n v="1"/>
    <n v="0.87"/>
    <n v="0.78"/>
    <n v="0.13"/>
    <n v="0.94"/>
    <n v="0.82"/>
    <x v="2"/>
    <x v="2"/>
    <x v="1"/>
    <x v="1"/>
    <x v="1"/>
    <x v="1"/>
    <x v="1"/>
  </r>
  <r>
    <s v="/krs/361"/>
    <n v="361"/>
    <s v="02"/>
    <x v="2"/>
    <x v="6"/>
    <x v="47"/>
    <d v="2017-12-23T00:00:00"/>
    <x v="24"/>
    <x v="0"/>
    <s v="Письменный экзамен в форме ОГЭ. Общее количество заданий – 35. Работа состоит из двух частей.  Часть 1 содержит 30 заданий с кратким ответом в виде одной цифры, соответствующей номеру правильного ответа, последовательности цифр или слова (словосочетания). Часть 2 содержит 5 заданий с развернутым ответом. Проверка выполнения заданий этой части проводится  на основе специально разработанных критериев"/>
    <n v="121"/>
    <n v="99"/>
    <n v="220"/>
    <n v="0.55000000000000004"/>
    <n v="5"/>
    <m/>
    <n v="2"/>
    <n v="5"/>
    <n v="3.2"/>
    <n v="3.4"/>
    <n v="0.68"/>
    <n v="0.55000000000000004"/>
    <n v="1"/>
    <n v="0.83"/>
    <n v="0.4"/>
    <n v="0.45"/>
    <n v="5"/>
    <n v="0"/>
    <n v="3.3"/>
    <n v="1"/>
    <n v="0.66"/>
    <n v="0"/>
    <n v="0.34"/>
    <n v="0.61"/>
    <n v="0.4"/>
    <x v="1"/>
    <x v="3"/>
    <x v="1"/>
    <x v="2"/>
    <x v="1"/>
    <x v="2"/>
    <x v="2"/>
  </r>
  <r>
    <s v="/krs/363"/>
    <n v="363"/>
    <s v="02"/>
    <x v="2"/>
    <x v="9"/>
    <x v="14"/>
    <d v="2017-12-25T00:00:00"/>
    <x v="24"/>
    <x v="0"/>
    <m/>
    <n v="298"/>
    <n v="209"/>
    <n v="507"/>
    <n v="0.59"/>
    <n v="13"/>
    <m/>
    <n v="5"/>
    <n v="13"/>
    <n v="3.4"/>
    <n v="3.3"/>
    <n v="0.66"/>
    <n v="0.59"/>
    <n v="0.85"/>
    <n v="0.89"/>
    <n v="0.38"/>
    <n v="0.41"/>
    <n v="13"/>
    <n v="5"/>
    <n v="3.3"/>
    <n v="0.62"/>
    <n v="0.66"/>
    <n v="0.38"/>
    <n v="0.34"/>
    <n v="0.68"/>
    <n v="0.6"/>
    <x v="2"/>
    <x v="3"/>
    <x v="1"/>
    <x v="3"/>
    <x v="2"/>
    <x v="1"/>
    <x v="2"/>
  </r>
  <r>
    <s v="/krs/366"/>
    <n v="366"/>
    <s v="02"/>
    <x v="2"/>
    <x v="9"/>
    <x v="23"/>
    <d v="2017-12-25T00:00:00"/>
    <x v="24"/>
    <x v="0"/>
    <m/>
    <n v="292"/>
    <n v="176"/>
    <n v="468"/>
    <n v="0.62"/>
    <n v="12"/>
    <m/>
    <n v="5"/>
    <n v="12"/>
    <n v="3.5"/>
    <n v="3.3"/>
    <n v="0.65"/>
    <n v="0.62"/>
    <n v="0.92"/>
    <n v="0.94"/>
    <n v="0.42"/>
    <n v="0.38"/>
    <n v="11"/>
    <n v="2"/>
    <n v="3.3"/>
    <n v="0.82"/>
    <n v="0.66"/>
    <n v="0.18"/>
    <n v="0.34"/>
    <n v="0.73"/>
    <n v="0.65"/>
    <x v="2"/>
    <x v="1"/>
    <x v="1"/>
    <x v="1"/>
    <x v="1"/>
    <x v="3"/>
    <x v="1"/>
  </r>
  <r>
    <s v="/krs/367"/>
    <n v="367"/>
    <s v="02"/>
    <x v="2"/>
    <x v="9"/>
    <x v="3"/>
    <d v="2017-12-25T00:00:00"/>
    <x v="24"/>
    <x v="0"/>
    <m/>
    <n v="239"/>
    <n v="112"/>
    <n v="351"/>
    <n v="0.68"/>
    <n v="9"/>
    <m/>
    <n v="4"/>
    <n v="9"/>
    <n v="3.7"/>
    <n v="3"/>
    <n v="0.6"/>
    <n v="0.68"/>
    <n v="0.78"/>
    <n v="0.96"/>
    <n v="0.44"/>
    <n v="0.32"/>
    <n v="7"/>
    <n v="2"/>
    <n v="3.6"/>
    <n v="1"/>
    <n v="0.71"/>
    <n v="0.28999999999999998"/>
    <n v="0.28999999999999998"/>
    <n v="0.79"/>
    <n v="0.67"/>
    <x v="2"/>
    <x v="1"/>
    <x v="1"/>
    <x v="1"/>
    <x v="1"/>
    <x v="3"/>
    <x v="1"/>
  </r>
  <r>
    <s v="/krs/368"/>
    <n v="368"/>
    <s v="01"/>
    <x v="3"/>
    <x v="12"/>
    <x v="13"/>
    <d v="2018-01-05T00:00:00"/>
    <x v="11"/>
    <x v="0"/>
    <s v="Экзаменационная работа в формате ЕГЭ"/>
    <n v="128"/>
    <n v="40"/>
    <n v="168"/>
    <n v="0.76"/>
    <n v="4"/>
    <m/>
    <n v="4"/>
    <n v="4"/>
    <n v="4.0999999999999996"/>
    <n v="4.3"/>
    <n v="0.85"/>
    <n v="0.76"/>
    <n v="1"/>
    <n v="0.89"/>
    <n v="1"/>
    <n v="0.24"/>
    <n v="4"/>
    <n v="4"/>
    <n v="4.3"/>
    <n v="1"/>
    <n v="0.85"/>
    <n v="1"/>
    <n v="0.15"/>
    <n v="0.79"/>
    <n v="0"/>
    <x v="2"/>
    <x v="2"/>
    <x v="1"/>
    <x v="3"/>
    <x v="1"/>
    <x v="1"/>
    <x v="2"/>
  </r>
  <r>
    <s v="/krs/369"/>
    <n v="369"/>
    <s v="03"/>
    <x v="3"/>
    <x v="1"/>
    <x v="13"/>
    <d v="2017-12-18T00:00:00"/>
    <x v="11"/>
    <x v="0"/>
    <s v="Контрольная работа в формате ЕГЭ"/>
    <n v="1265"/>
    <n v="475"/>
    <n v="1740"/>
    <n v="0.73"/>
    <n v="30"/>
    <m/>
    <n v="23"/>
    <n v="30"/>
    <n v="3.9"/>
    <n v="4"/>
    <n v="0.79"/>
    <n v="0.73"/>
    <n v="0.97"/>
    <n v="0.94"/>
    <n v="0.77"/>
    <n v="0.27"/>
    <n v="30"/>
    <n v="20"/>
    <n v="3.9"/>
    <n v="0.97"/>
    <n v="0.78"/>
    <n v="0.67"/>
    <n v="0.22"/>
    <n v="0.81"/>
    <n v="0"/>
    <x v="2"/>
    <x v="2"/>
    <x v="1"/>
    <x v="1"/>
    <x v="1"/>
    <x v="1"/>
    <x v="1"/>
  </r>
  <r>
    <s v="/krs/370"/>
    <n v="370"/>
    <s v="07"/>
    <x v="2"/>
    <x v="5"/>
    <x v="48"/>
    <d v="2017-12-15T00:00:00"/>
    <x v="19"/>
    <x v="0"/>
    <s v="Репетиционный экзамен в формате ЕГЭ. "/>
    <n v="896"/>
    <n v="404"/>
    <n v="1300"/>
    <n v="0.69"/>
    <n v="13"/>
    <m/>
    <n v="0"/>
    <n v="13"/>
    <n v="3.8"/>
    <n v="1"/>
    <n v="0.2"/>
    <n v="0.69"/>
    <n v="0"/>
    <n v="0"/>
    <n v="0"/>
    <n v="0.31"/>
    <n v="0"/>
    <n v="0"/>
    <n v="0"/>
    <n v="0"/>
    <n v="0"/>
    <n v="0"/>
    <n v="1"/>
    <n v="0.76"/>
    <n v="0.67"/>
    <x v="1"/>
    <x v="1"/>
    <x v="2"/>
    <x v="1"/>
    <x v="2"/>
    <x v="3"/>
    <x v="2"/>
  </r>
  <r>
    <s v="/krs/372"/>
    <n v="372"/>
    <s v="1"/>
    <x v="2"/>
    <x v="2"/>
    <x v="15"/>
    <d v="2017-12-19T00:00:00"/>
    <x v="25"/>
    <x v="0"/>
    <m/>
    <n v="251"/>
    <n v="69"/>
    <n v="320"/>
    <n v="0.78"/>
    <n v="16"/>
    <m/>
    <n v="16"/>
    <n v="16"/>
    <n v="4.0999999999999996"/>
    <n v="4.3"/>
    <n v="0.86"/>
    <n v="0.78"/>
    <n v="1"/>
    <n v="0"/>
    <n v="1"/>
    <n v="0.22"/>
    <n v="0"/>
    <n v="0"/>
    <n v="0"/>
    <n v="0"/>
    <n v="0"/>
    <n v="0"/>
    <n v="1"/>
    <n v="0.79"/>
    <n v="0"/>
    <x v="2"/>
    <x v="2"/>
    <x v="1"/>
    <x v="1"/>
    <x v="1"/>
    <x v="3"/>
    <x v="2"/>
  </r>
  <r>
    <s v="/krs/374"/>
    <n v="374"/>
    <s v="01"/>
    <x v="2"/>
    <x v="3"/>
    <x v="13"/>
    <d v="2017-12-20T00:00:00"/>
    <x v="14"/>
    <x v="0"/>
    <s v="репетиционная экзаменационная работа по географии в форме егэ"/>
    <n v="21"/>
    <n v="20"/>
    <n v="41"/>
    <n v="0.51"/>
    <n v="1"/>
    <m/>
    <n v="0"/>
    <n v="1"/>
    <n v="3"/>
    <n v="2"/>
    <n v="0.4"/>
    <n v="0.51"/>
    <n v="0"/>
    <n v="0.73"/>
    <n v="0"/>
    <n v="0.49"/>
    <n v="1"/>
    <n v="0"/>
    <n v="3.5"/>
    <n v="1"/>
    <n v="0.7"/>
    <n v="0"/>
    <n v="0.3"/>
    <n v="0.61"/>
    <n v="0.41"/>
    <x v="1"/>
    <x v="3"/>
    <x v="2"/>
    <x v="2"/>
    <x v="2"/>
    <x v="2"/>
    <x v="2"/>
  </r>
  <r>
    <s v="/krs/375"/>
    <n v="375"/>
    <s v="01"/>
    <x v="2"/>
    <x v="11"/>
    <x v="18"/>
    <d v="2017-12-18T00:00:00"/>
    <x v="28"/>
    <x v="0"/>
    <s v="Пробный ОГЭ"/>
    <n v="359"/>
    <n v="191"/>
    <n v="550"/>
    <n v="0.65"/>
    <n v="25"/>
    <m/>
    <n v="21"/>
    <n v="25"/>
    <n v="3.6"/>
    <n v="4.0999999999999996"/>
    <n v="0.82"/>
    <n v="0.65"/>
    <n v="1"/>
    <n v="0.76"/>
    <n v="0.84"/>
    <n v="0.35"/>
    <n v="25"/>
    <n v="22"/>
    <n v="4.3"/>
    <n v="1"/>
    <n v="0.86"/>
    <n v="0.88"/>
    <n v="0.14000000000000001"/>
    <n v="0.72"/>
    <n v="0.57999999999999996"/>
    <x v="1"/>
    <x v="1"/>
    <x v="1"/>
    <x v="2"/>
    <x v="2"/>
    <x v="2"/>
    <x v="2"/>
  </r>
  <r>
    <s v="/krs/376"/>
    <n v="376"/>
    <s v="ОГЭ"/>
    <x v="2"/>
    <x v="3"/>
    <x v="18"/>
    <d v="2017-12-20T00:00:00"/>
    <x v="3"/>
    <x v="0"/>
    <s v="пробный экзамен по биологии в форме ОГЭ"/>
    <n v="416"/>
    <n v="320"/>
    <n v="736"/>
    <n v="0.56999999999999995"/>
    <n v="16"/>
    <m/>
    <n v="7"/>
    <n v="16"/>
    <n v="3.3"/>
    <n v="3.5"/>
    <n v="0.7"/>
    <n v="0.56999999999999995"/>
    <n v="1"/>
    <n v="0.73"/>
    <n v="0.44"/>
    <n v="0.43"/>
    <n v="16"/>
    <n v="11"/>
    <n v="3.9"/>
    <n v="1"/>
    <n v="0.78"/>
    <n v="0.69"/>
    <n v="0.22"/>
    <n v="0.59"/>
    <n v="0.53"/>
    <x v="1"/>
    <x v="3"/>
    <x v="1"/>
    <x v="2"/>
    <x v="1"/>
    <x v="2"/>
    <x v="2"/>
  </r>
  <r>
    <s v="/krs/377"/>
    <n v="377"/>
    <s v="01 АКР Биология"/>
    <x v="3"/>
    <x v="3"/>
    <x v="49"/>
    <d v="2018-01-22T00:00:00"/>
    <x v="27"/>
    <x v="0"/>
    <m/>
    <m/>
    <m/>
    <m/>
    <m/>
    <m/>
    <m/>
    <m/>
    <m/>
    <m/>
    <m/>
    <m/>
    <m/>
    <m/>
    <m/>
    <m/>
    <m/>
    <m/>
    <m/>
    <m/>
    <m/>
    <m/>
    <m/>
    <m/>
    <m/>
    <m/>
    <x v="0"/>
    <x v="0"/>
    <x v="0"/>
    <x v="0"/>
    <x v="0"/>
    <x v="0"/>
    <x v="0"/>
  </r>
  <r>
    <s v="/krs/378"/>
    <n v="378"/>
    <s v="01"/>
    <x v="2"/>
    <x v="5"/>
    <x v="18"/>
    <d v="2017-12-15T00:00:00"/>
    <x v="22"/>
    <x v="1"/>
    <s v="Репетиционный экзамен в формате ОГЭ"/>
    <n v="330"/>
    <n v="90"/>
    <n v="420"/>
    <n v="0.79"/>
    <n v="6"/>
    <m/>
    <n v="5"/>
    <n v="6"/>
    <n v="4.0999999999999996"/>
    <n v="4.2"/>
    <n v="0.83"/>
    <n v="0.79"/>
    <n v="1"/>
    <n v="0.91"/>
    <n v="0.83"/>
    <n v="0.21"/>
    <n v="6"/>
    <n v="6"/>
    <n v="4.3"/>
    <n v="1"/>
    <n v="0.87"/>
    <n v="1"/>
    <n v="0.13"/>
    <n v="0.82"/>
    <n v="0.75"/>
    <x v="2"/>
    <x v="2"/>
    <x v="1"/>
    <x v="3"/>
    <x v="1"/>
    <x v="1"/>
    <x v="1"/>
  </r>
  <r>
    <s v="/krs/381"/>
    <n v="381"/>
    <s v="1.1"/>
    <x v="2"/>
    <x v="2"/>
    <x v="13"/>
    <d v="2017-12-19T00:00:00"/>
    <x v="29"/>
    <x v="0"/>
    <m/>
    <n v="83"/>
    <n v="205"/>
    <n v="288"/>
    <n v="0.28999999999999998"/>
    <n v="9"/>
    <m/>
    <n v="5"/>
    <n v="9"/>
    <n v="2.1"/>
    <n v="3.6"/>
    <n v="0.71"/>
    <n v="0.28999999999999998"/>
    <n v="1"/>
    <n v="0"/>
    <n v="0.56000000000000005"/>
    <n v="0.71"/>
    <n v="0"/>
    <n v="0"/>
    <n v="0"/>
    <n v="0"/>
    <n v="0"/>
    <n v="0"/>
    <n v="1"/>
    <n v="0.81"/>
    <n v="0.24"/>
    <x v="1"/>
    <x v="3"/>
    <x v="1"/>
    <x v="1"/>
    <x v="1"/>
    <x v="3"/>
    <x v="2"/>
  </r>
  <r>
    <s v="/krs/382"/>
    <n v="382"/>
    <s v="01"/>
    <x v="2"/>
    <x v="11"/>
    <x v="1"/>
    <d v="2017-12-22T00:00:00"/>
    <x v="17"/>
    <x v="0"/>
    <m/>
    <n v="168"/>
    <n v="217"/>
    <n v="385"/>
    <n v="0.44"/>
    <n v="11"/>
    <m/>
    <n v="7"/>
    <n v="11"/>
    <n v="2.8"/>
    <n v="3.5"/>
    <n v="0.69"/>
    <n v="0.44"/>
    <n v="0.91"/>
    <n v="0.52"/>
    <n v="0.64"/>
    <n v="0.56000000000000005"/>
    <n v="10"/>
    <n v="7"/>
    <n v="4.2"/>
    <n v="1"/>
    <n v="0.84"/>
    <n v="0.7"/>
    <n v="0.16"/>
    <n v="0.71"/>
    <n v="0.32"/>
    <x v="1"/>
    <x v="3"/>
    <x v="1"/>
    <x v="2"/>
    <x v="2"/>
    <x v="2"/>
    <x v="2"/>
  </r>
  <r>
    <s v="/krs/383"/>
    <n v="383"/>
    <s v="1.1"/>
    <x v="2"/>
    <x v="2"/>
    <x v="50"/>
    <d v="2017-12-19T00:00:00"/>
    <x v="29"/>
    <x v="1"/>
    <m/>
    <n v="312"/>
    <n v="616"/>
    <n v="928"/>
    <n v="0.34"/>
    <n v="29"/>
    <m/>
    <n v="19"/>
    <n v="29"/>
    <n v="2.2999999999999998"/>
    <n v="3.7"/>
    <n v="0.74"/>
    <n v="0.34"/>
    <n v="0.97"/>
    <n v="0"/>
    <n v="0.66"/>
    <n v="0.66"/>
    <n v="0"/>
    <n v="0"/>
    <n v="0"/>
    <n v="0"/>
    <n v="0"/>
    <n v="0"/>
    <n v="1"/>
    <n v="0.72"/>
    <n v="0.35"/>
    <x v="1"/>
    <x v="3"/>
    <x v="1"/>
    <x v="1"/>
    <x v="1"/>
    <x v="3"/>
    <x v="2"/>
  </r>
  <r>
    <s v="/krs/385"/>
    <n v="385"/>
    <s v="1"/>
    <x v="3"/>
    <x v="12"/>
    <x v="23"/>
    <d v="2017-12-28T00:00:00"/>
    <x v="30"/>
    <x v="0"/>
    <m/>
    <n v="31"/>
    <n v="27"/>
    <n v="58"/>
    <n v="0.53"/>
    <n v="2"/>
    <m/>
    <n v="0"/>
    <n v="2"/>
    <n v="3.2"/>
    <n v="3"/>
    <n v="0.6"/>
    <n v="0.53"/>
    <n v="1"/>
    <n v="0.62"/>
    <n v="0"/>
    <n v="0.47"/>
    <n v="2"/>
    <n v="2"/>
    <n v="4.3"/>
    <n v="1"/>
    <n v="0.85"/>
    <n v="1"/>
    <n v="0.15"/>
    <n v="0.55000000000000004"/>
    <n v="0"/>
    <x v="2"/>
    <x v="3"/>
    <x v="1"/>
    <x v="2"/>
    <x v="1"/>
    <x v="2"/>
    <x v="2"/>
  </r>
  <r>
    <s v="/krs/387"/>
    <n v="387"/>
    <s v="3"/>
    <x v="1"/>
    <x v="6"/>
    <x v="6"/>
    <d v="2017-12-25T00:00:00"/>
    <x v="31"/>
    <x v="1"/>
    <s v="Россия при Екатерине II"/>
    <n v="1208"/>
    <n v="812"/>
    <n v="2020"/>
    <n v="0.6"/>
    <n v="101"/>
    <m/>
    <n v="46"/>
    <n v="101"/>
    <n v="3.2"/>
    <n v="3.4"/>
    <n v="0.69"/>
    <n v="0.6"/>
    <n v="0.9"/>
    <n v="0.88"/>
    <n v="0.46"/>
    <n v="0.4"/>
    <n v="101"/>
    <n v="32"/>
    <n v="3.4"/>
    <n v="0.74"/>
    <n v="0.68"/>
    <n v="0.32"/>
    <n v="0.32"/>
    <n v="0.69"/>
    <n v="0.55000000000000004"/>
    <x v="2"/>
    <x v="1"/>
    <x v="1"/>
    <x v="3"/>
    <x v="1"/>
    <x v="1"/>
    <x v="2"/>
  </r>
  <r>
    <s v="/krs/388"/>
    <n v="388"/>
    <s v="388 экз 11А"/>
    <x v="2"/>
    <x v="2"/>
    <x v="13"/>
    <d v="2018-01-17T08:49:20"/>
    <x v="32"/>
    <x v="1"/>
    <s v="Пробный экзамен"/>
    <n v="265"/>
    <n v="135"/>
    <n v="400"/>
    <n v="0.66"/>
    <n v="20"/>
    <m/>
    <n v="15"/>
    <n v="20"/>
    <n v="3.7"/>
    <n v="3.8"/>
    <n v="0.76"/>
    <n v="0.66"/>
    <n v="1"/>
    <n v="0.84"/>
    <n v="0.75"/>
    <n v="0.34"/>
    <n v="19"/>
    <n v="12"/>
    <n v="3.9"/>
    <n v="1"/>
    <n v="0.79"/>
    <n v="0.63"/>
    <n v="0.21"/>
    <n v="0.66"/>
    <n v="0"/>
    <x v="1"/>
    <x v="1"/>
    <x v="1"/>
    <x v="2"/>
    <x v="1"/>
    <x v="2"/>
    <x v="2"/>
  </r>
  <r>
    <s v="/krs/389"/>
    <n v="389"/>
    <s v="03"/>
    <x v="1"/>
    <x v="7"/>
    <x v="11"/>
    <d v="2018-01-17T09:15:24"/>
    <x v="10"/>
    <x v="0"/>
    <s v="тема &quot;Углеводороды&quot;"/>
    <n v="120"/>
    <n v="75"/>
    <n v="195"/>
    <n v="0.62"/>
    <n v="13"/>
    <m/>
    <n v="6"/>
    <n v="13"/>
    <n v="3.5"/>
    <n v="3.5"/>
    <n v="0.69"/>
    <n v="0.62"/>
    <n v="0.85"/>
    <n v="0"/>
    <n v="0.46"/>
    <n v="0.38"/>
    <n v="0"/>
    <n v="0"/>
    <n v="0"/>
    <n v="0"/>
    <n v="0"/>
    <n v="0"/>
    <n v="1"/>
    <n v="0.56999999999999995"/>
    <n v="0"/>
    <x v="2"/>
    <x v="1"/>
    <x v="1"/>
    <x v="1"/>
    <x v="1"/>
    <x v="3"/>
    <x v="2"/>
  </r>
  <r>
    <s v="/krs/390"/>
    <n v="390"/>
    <s v="1.1"/>
    <x v="2"/>
    <x v="4"/>
    <x v="18"/>
    <d v="2017-12-21T00:00:00"/>
    <x v="33"/>
    <x v="0"/>
    <s v=" Владение основным понятийным аппаратом школьного курса физики_x000a_ Знание и понимание смысла понятий: физическое явление, физический закон, вещество, взаимодействие, электрическое поле, магнитное поле, волна, атом, атомное ядро, ионизирующие излучения_x000a_ Знание и понимание смысла физических величин: путь, скорость, ускорение, масса, плотность, сила, давление, импульс, работа, мощность, кинетическая энергия, потенциальная энергия, коэффициент полезного действия, внутренняя энергия, температура, количество теплоты, удельная теплоемкость, удельная теплота плавления, удельная теплота сгорания топлива, влажность воздуха, электрический заряд, сила электрического тока, электрическое напряжение, электрическое сопротивление, работа и мощность электрического тока, фокусное расстояние линзы"/>
    <n v="367"/>
    <n v="452"/>
    <n v="819"/>
    <n v="0.45"/>
    <n v="21"/>
    <m/>
    <n v="8"/>
    <n v="21"/>
    <n v="2.8"/>
    <n v="3.4"/>
    <n v="0.68"/>
    <n v="0.45"/>
    <n v="1"/>
    <n v="0"/>
    <n v="0.38"/>
    <n v="0.55000000000000004"/>
    <n v="0"/>
    <n v="0"/>
    <n v="0"/>
    <n v="0"/>
    <n v="0"/>
    <n v="0"/>
    <n v="1"/>
    <n v="0.53"/>
    <n v="0.4"/>
    <x v="1"/>
    <x v="3"/>
    <x v="1"/>
    <x v="1"/>
    <x v="1"/>
    <x v="3"/>
    <x v="2"/>
  </r>
  <r>
    <s v="/krs/394"/>
    <n v="394"/>
    <s v="1"/>
    <x v="3"/>
    <x v="2"/>
    <x v="51"/>
    <d v="2018-01-17T00:00:00"/>
    <x v="23"/>
    <x v="0"/>
    <s v="Административная контрольная работа по математике для учащихся 5 классов"/>
    <n v="841"/>
    <n v="160"/>
    <n v="1001"/>
    <n v="0.84"/>
    <n v="77"/>
    <m/>
    <n v="73"/>
    <n v="77"/>
    <n v="4.4000000000000004"/>
    <n v="4.4000000000000004"/>
    <n v="0.89"/>
    <n v="0.84"/>
    <n v="1"/>
    <n v="0"/>
    <n v="0.95"/>
    <n v="0.16"/>
    <n v="77"/>
    <n v="73"/>
    <n v="4.4000000000000004"/>
    <n v="1"/>
    <n v="0.88"/>
    <n v="0.95"/>
    <n v="0.12"/>
    <n v="0.87"/>
    <n v="0.57999999999999996"/>
    <x v="2"/>
    <x v="2"/>
    <x v="1"/>
    <x v="1"/>
    <x v="1"/>
    <x v="3"/>
    <x v="2"/>
  </r>
  <r>
    <s v="/krs/395"/>
    <n v="395"/>
    <s v="4"/>
    <x v="1"/>
    <x v="2"/>
    <x v="18"/>
    <d v="2018-01-29T08:57:52"/>
    <x v="2"/>
    <x v="0"/>
    <s v="Уравнения. Системы уравнений. "/>
    <n v="323"/>
    <n v="289"/>
    <n v="612"/>
    <n v="0.53"/>
    <n v="68"/>
    <m/>
    <n v="27"/>
    <n v="68"/>
    <n v="3.2"/>
    <n v="3.3"/>
    <n v="0.65"/>
    <n v="0.53"/>
    <n v="0.72"/>
    <n v="0.74"/>
    <n v="0.4"/>
    <n v="0.47"/>
    <n v="68"/>
    <n v="28"/>
    <n v="3.6"/>
    <n v="0.85"/>
    <n v="0.72"/>
    <n v="0.41"/>
    <n v="0.28000000000000003"/>
    <n v="0.55000000000000004"/>
    <n v="0.43"/>
    <x v="1"/>
    <x v="3"/>
    <x v="1"/>
    <x v="2"/>
    <x v="2"/>
    <x v="2"/>
    <x v="2"/>
  </r>
  <r>
    <s v="/krs/396"/>
    <n v="396"/>
    <s v="4"/>
    <x v="1"/>
    <x v="2"/>
    <x v="2"/>
    <d v="2018-01-29T09:39:48"/>
    <x v="2"/>
    <x v="0"/>
    <s v="Формулы сокращенного умножения"/>
    <n v="49"/>
    <n v="215"/>
    <n v="264"/>
    <n v="0.19"/>
    <n v="24"/>
    <m/>
    <n v="5"/>
    <n v="24"/>
    <n v="2.5"/>
    <n v="1.8"/>
    <n v="0.36"/>
    <n v="0.19"/>
    <n v="0.21"/>
    <n v="0.25"/>
    <n v="0.21"/>
    <n v="0.81"/>
    <n v="24"/>
    <n v="12"/>
    <n v="3.8"/>
    <n v="0.92"/>
    <n v="0.76"/>
    <n v="0.5"/>
    <n v="0.24"/>
    <n v="0.21"/>
    <n v="0.16"/>
    <x v="1"/>
    <x v="3"/>
    <x v="2"/>
    <x v="2"/>
    <x v="1"/>
    <x v="2"/>
    <x v="2"/>
  </r>
  <r>
    <s v="/krs/398"/>
    <n v="398"/>
    <s v="5"/>
    <x v="3"/>
    <x v="2"/>
    <x v="29"/>
    <d v="2018-01-18T00:00:00"/>
    <x v="34"/>
    <x v="0"/>
    <m/>
    <n v="376"/>
    <n v="56"/>
    <n v="432"/>
    <n v="0.87"/>
    <n v="27"/>
    <m/>
    <n v="27"/>
    <n v="27"/>
    <n v="4.5"/>
    <n v="4.5999999999999996"/>
    <n v="0.93"/>
    <n v="0.87"/>
    <n v="1"/>
    <n v="0"/>
    <n v="1"/>
    <n v="0.13"/>
    <n v="27"/>
    <n v="24"/>
    <n v="4.4000000000000004"/>
    <n v="1"/>
    <n v="0.87"/>
    <n v="0.89"/>
    <n v="0.13"/>
    <n v="0.88"/>
    <n v="0"/>
    <x v="2"/>
    <x v="2"/>
    <x v="1"/>
    <x v="1"/>
    <x v="1"/>
    <x v="3"/>
    <x v="2"/>
  </r>
  <r>
    <s v="/krs/400"/>
    <n v="400"/>
    <s v="1"/>
    <x v="3"/>
    <x v="6"/>
    <x v="52"/>
    <d v="2018-01-30T14:54:37"/>
    <x v="31"/>
    <x v="1"/>
    <s v="Административная контрольная работа по теме &quot;Древний Восток&quot; составлена по образцу всероссийской проверочной работы, критерии оценивания работы не совпадают с параметрами оценки системы АИС ВЕСНА"/>
    <n v="806"/>
    <n v="799"/>
    <n v="1605"/>
    <n v="0.5"/>
    <n v="107"/>
    <m/>
    <n v="52"/>
    <n v="107"/>
    <n v="2.7"/>
    <n v="3.5"/>
    <n v="0.7"/>
    <n v="0.5"/>
    <n v="0.89"/>
    <n v="0.68"/>
    <n v="0.49"/>
    <n v="0.5"/>
    <n v="107"/>
    <n v="51"/>
    <n v="3.7"/>
    <n v="0.92"/>
    <n v="0.74"/>
    <n v="0.48"/>
    <n v="0.26"/>
    <n v="0.55000000000000004"/>
    <n v="0.46"/>
    <x v="1"/>
    <x v="3"/>
    <x v="1"/>
    <x v="2"/>
    <x v="2"/>
    <x v="2"/>
    <x v="2"/>
  </r>
  <r>
    <s v="/krs/401"/>
    <n v="401"/>
    <s v="02"/>
    <x v="3"/>
    <x v="3"/>
    <x v="53"/>
    <d v="2018-01-31T14:42:09"/>
    <x v="3"/>
    <x v="0"/>
    <m/>
    <n v="1502"/>
    <n v="280"/>
    <n v="1782"/>
    <n v="0.84"/>
    <n v="81"/>
    <m/>
    <n v="76"/>
    <n v="81"/>
    <n v="4.4000000000000004"/>
    <n v="4.2"/>
    <n v="0.84"/>
    <n v="0.84"/>
    <n v="1"/>
    <n v="0.98"/>
    <n v="0.94"/>
    <n v="0.16"/>
    <n v="81"/>
    <n v="76"/>
    <n v="4.3"/>
    <n v="1"/>
    <n v="0.86"/>
    <n v="0.94"/>
    <n v="0.14000000000000001"/>
    <n v="0.8"/>
    <n v="0"/>
    <x v="2"/>
    <x v="2"/>
    <x v="1"/>
    <x v="1"/>
    <x v="2"/>
    <x v="3"/>
    <x v="1"/>
  </r>
  <r>
    <s v="/krs/402"/>
    <n v="402"/>
    <s v="01"/>
    <x v="3"/>
    <x v="3"/>
    <x v="34"/>
    <d v="2018-02-01T15:13:03"/>
    <x v="14"/>
    <x v="0"/>
    <s v="Административная работа в рамках КОК по итогам первого полугодия"/>
    <n v="439"/>
    <n v="111"/>
    <n v="550"/>
    <n v="0.8"/>
    <n v="25"/>
    <m/>
    <n v="25"/>
    <n v="25"/>
    <n v="4.2"/>
    <n v="4"/>
    <n v="0.81"/>
    <n v="0.8"/>
    <n v="1"/>
    <n v="1.03"/>
    <n v="1"/>
    <n v="0.2"/>
    <n v="25"/>
    <n v="15"/>
    <n v="3.9"/>
    <n v="1"/>
    <n v="0.78"/>
    <n v="0.6"/>
    <n v="0.22"/>
    <n v="0.76"/>
    <n v="0.73"/>
    <x v="2"/>
    <x v="2"/>
    <x v="1"/>
    <x v="1"/>
    <x v="1"/>
    <x v="3"/>
    <x v="1"/>
  </r>
  <r>
    <s v="/krs/407"/>
    <n v="407"/>
    <s v="04"/>
    <x v="1"/>
    <x v="6"/>
    <x v="13"/>
    <d v="2018-02-15T13:41:46"/>
    <x v="6"/>
    <x v="1"/>
    <s v="основные события Великой Отечественной войны"/>
    <n v="286"/>
    <n v="44"/>
    <n v="330"/>
    <n v="0.87"/>
    <n v="15"/>
    <m/>
    <n v="15"/>
    <n v="15"/>
    <n v="4.3"/>
    <n v="4.3"/>
    <n v="0.87"/>
    <n v="0.87"/>
    <n v="1"/>
    <n v="0.99"/>
    <n v="1"/>
    <n v="0.13"/>
    <n v="15"/>
    <n v="15"/>
    <n v="4.4000000000000004"/>
    <n v="1"/>
    <n v="0.88"/>
    <n v="1"/>
    <n v="0.12"/>
    <n v="0.87"/>
    <n v="0"/>
    <x v="2"/>
    <x v="2"/>
    <x v="1"/>
    <x v="1"/>
    <x v="2"/>
    <x v="3"/>
    <x v="1"/>
  </r>
  <r>
    <s v="/krs/408"/>
    <n v="408"/>
    <s v="01"/>
    <x v="1"/>
    <x v="9"/>
    <x v="27"/>
    <d v="2018-02-15T14:45:23"/>
    <x v="6"/>
    <x v="1"/>
    <s v="текущая работа по теме : &quot;Право в системе социальных норм&quot;"/>
    <n v="301"/>
    <n v="47"/>
    <n v="348"/>
    <n v="0.86"/>
    <n v="29"/>
    <m/>
    <n v="29"/>
    <n v="29"/>
    <n v="4.0999999999999996"/>
    <n v="4.5"/>
    <n v="0.9"/>
    <n v="0.86"/>
    <n v="1"/>
    <n v="1.02"/>
    <n v="1"/>
    <n v="0.14000000000000001"/>
    <n v="29"/>
    <n v="24"/>
    <n v="4.2"/>
    <n v="1"/>
    <n v="0.84"/>
    <n v="0.83"/>
    <n v="0.16"/>
    <n v="0.87"/>
    <n v="0"/>
    <x v="2"/>
    <x v="2"/>
    <x v="1"/>
    <x v="1"/>
    <x v="1"/>
    <x v="3"/>
    <x v="1"/>
  </r>
  <r>
    <s v="/krs/410"/>
    <n v="410"/>
    <s v="№1"/>
    <x v="3"/>
    <x v="15"/>
    <x v="54"/>
    <d v="2018-02-02T00:00:00"/>
    <x v="35"/>
    <x v="0"/>
    <s v="Диагностика читательской грамотности. Задания по художественному и информационному текстам"/>
    <n v="2368"/>
    <n v="1547"/>
    <n v="3915"/>
    <n v="0.6"/>
    <n v="145"/>
    <m/>
    <n v="97"/>
    <n v="145"/>
    <n v="3.3"/>
    <n v="3.4"/>
    <n v="0.69"/>
    <n v="0.6"/>
    <n v="0.81"/>
    <n v="0.7"/>
    <n v="0.67"/>
    <n v="0.4"/>
    <n v="118"/>
    <n v="102"/>
    <n v="4.3"/>
    <n v="0.99"/>
    <n v="0.86"/>
    <n v="0.86"/>
    <n v="0.14000000000000001"/>
    <n v="0.61"/>
    <n v="0"/>
    <x v="2"/>
    <x v="1"/>
    <x v="1"/>
    <x v="2"/>
    <x v="1"/>
    <x v="2"/>
    <x v="2"/>
  </r>
  <r>
    <s v="/krs/417"/>
    <n v="417"/>
    <s v="2"/>
    <x v="3"/>
    <x v="1"/>
    <x v="25"/>
    <d v="2018-03-02T00:00:00"/>
    <x v="16"/>
    <x v="0"/>
    <s v="Административная контрольная работа состоит из двух частей (тестовые задания и работа с текстом)"/>
    <n v="376"/>
    <n v="191"/>
    <n v="567"/>
    <n v="0.66"/>
    <n v="27"/>
    <m/>
    <n v="18"/>
    <n v="27"/>
    <n v="3.6"/>
    <n v="3.7"/>
    <n v="0.73"/>
    <n v="0.66"/>
    <n v="0.93"/>
    <n v="0.89"/>
    <n v="0.67"/>
    <n v="0.34"/>
    <n v="26"/>
    <n v="16"/>
    <n v="3.7"/>
    <n v="0.96"/>
    <n v="0.74"/>
    <n v="0.62"/>
    <n v="0.26"/>
    <n v="0.7"/>
    <n v="0.64"/>
    <x v="2"/>
    <x v="1"/>
    <x v="1"/>
    <x v="3"/>
    <x v="2"/>
    <x v="1"/>
    <x v="2"/>
  </r>
  <r>
    <s v="/krs/418"/>
    <n v="418"/>
    <s v="03"/>
    <x v="3"/>
    <x v="3"/>
    <x v="55"/>
    <d v="2018-03-07T09:54:20"/>
    <x v="3"/>
    <x v="1"/>
    <m/>
    <n v="384"/>
    <n v="162"/>
    <n v="546"/>
    <n v="0.7"/>
    <n v="26"/>
    <m/>
    <n v="19"/>
    <n v="26"/>
    <n v="3.3"/>
    <n v="3.9"/>
    <n v="0.78"/>
    <n v="0.7"/>
    <n v="1"/>
    <n v="0.95"/>
    <n v="0.73"/>
    <n v="0.3"/>
    <n v="26"/>
    <n v="14"/>
    <n v="3.7"/>
    <n v="1"/>
    <n v="0.74"/>
    <n v="0.54"/>
    <n v="0.26"/>
    <n v="0.76"/>
    <n v="0.65"/>
    <x v="2"/>
    <x v="2"/>
    <x v="1"/>
    <x v="1"/>
    <x v="1"/>
    <x v="3"/>
    <x v="1"/>
  </r>
  <r>
    <s v="/krs/419"/>
    <n v="419"/>
    <s v="5"/>
    <x v="3"/>
    <x v="2"/>
    <x v="2"/>
    <d v="2018-03-06T00:00:00"/>
    <x v="2"/>
    <x v="0"/>
    <s v="Административная контрольная работа"/>
    <n v="308"/>
    <n v="70"/>
    <n v="378"/>
    <n v="0.81"/>
    <n v="21"/>
    <m/>
    <n v="19"/>
    <n v="21"/>
    <n v="3.7"/>
    <n v="4.2"/>
    <n v="0.84"/>
    <n v="0.81"/>
    <n v="1"/>
    <n v="0.99"/>
    <n v="0.9"/>
    <n v="0.19"/>
    <n v="21"/>
    <n v="15"/>
    <n v="4.0999999999999996"/>
    <n v="1"/>
    <n v="0.82"/>
    <n v="0.71"/>
    <n v="0.18"/>
    <n v="0"/>
    <n v="0"/>
    <x v="2"/>
    <x v="2"/>
    <x v="1"/>
    <x v="1"/>
    <x v="1"/>
    <x v="3"/>
    <x v="1"/>
  </r>
  <r>
    <s v="/krs/420"/>
    <n v="420"/>
    <s v="3"/>
    <x v="1"/>
    <x v="9"/>
    <x v="6"/>
    <d v="2018-03-07T00:00:00"/>
    <x v="31"/>
    <x v="1"/>
    <m/>
    <n v="1344"/>
    <n v="816"/>
    <n v="2160"/>
    <n v="0.62"/>
    <n v="107"/>
    <m/>
    <n v="54"/>
    <n v="107"/>
    <n v="3.3"/>
    <n v="3.5"/>
    <n v="0.7"/>
    <n v="0.62"/>
    <n v="0.92"/>
    <n v="0.85"/>
    <n v="0.5"/>
    <n v="0.38"/>
    <n v="105"/>
    <n v="38"/>
    <n v="3.6"/>
    <n v="0.85"/>
    <n v="0.73"/>
    <n v="0.36"/>
    <n v="0.27"/>
    <n v="0.81"/>
    <n v="0.5"/>
    <x v="2"/>
    <x v="1"/>
    <x v="1"/>
    <x v="2"/>
    <x v="1"/>
    <x v="2"/>
    <x v="2"/>
  </r>
  <r>
    <s v="/krs/421"/>
    <n v="421"/>
    <s v="01"/>
    <x v="3"/>
    <x v="5"/>
    <x v="5"/>
    <d v="2018-03-13T22:17:20"/>
    <x v="36"/>
    <x v="0"/>
    <s v="Классно-обобщающий контроль в 7 Б классе"/>
    <n v="144"/>
    <n v="126"/>
    <n v="270"/>
    <n v="0.53"/>
    <n v="9"/>
    <m/>
    <n v="1"/>
    <n v="9"/>
    <n v="3.1"/>
    <n v="2.8"/>
    <n v="0.56000000000000005"/>
    <n v="0.53"/>
    <n v="0.56000000000000005"/>
    <n v="0"/>
    <n v="0.11"/>
    <n v="0.47"/>
    <n v="0"/>
    <n v="0"/>
    <n v="0"/>
    <n v="0"/>
    <n v="0"/>
    <n v="0"/>
    <n v="1"/>
    <n v="0.5"/>
    <n v="0.67"/>
    <x v="2"/>
    <x v="3"/>
    <x v="3"/>
    <x v="1"/>
    <x v="1"/>
    <x v="3"/>
    <x v="2"/>
  </r>
  <r>
    <s v="/krs/424"/>
    <n v="424"/>
    <s v="01"/>
    <x v="3"/>
    <x v="5"/>
    <x v="5"/>
    <d v="2018-03-10T00:00:00"/>
    <x v="37"/>
    <x v="0"/>
    <s v="Административная контрольная работа по английскому языку"/>
    <n v="343"/>
    <n v="347"/>
    <n v="690"/>
    <n v="0.5"/>
    <n v="23"/>
    <m/>
    <n v="3"/>
    <n v="23"/>
    <n v="2.6"/>
    <n v="2.6"/>
    <n v="0.52"/>
    <n v="0.5"/>
    <n v="0.52"/>
    <n v="0.67"/>
    <n v="0.13"/>
    <n v="0.5"/>
    <n v="23"/>
    <n v="13"/>
    <n v="3.7"/>
    <n v="1"/>
    <n v="0.75"/>
    <n v="0.56999999999999995"/>
    <n v="0.25"/>
    <n v="0.46"/>
    <n v="0.62"/>
    <x v="2"/>
    <x v="3"/>
    <x v="3"/>
    <x v="2"/>
    <x v="1"/>
    <x v="2"/>
    <x v="2"/>
  </r>
  <r>
    <s v="/krs/428"/>
    <n v="428"/>
    <s v="03"/>
    <x v="1"/>
    <x v="7"/>
    <x v="6"/>
    <d v="2018-03-09T00:00:00"/>
    <x v="10"/>
    <x v="0"/>
    <s v="Типы химических реакций"/>
    <n v="1071"/>
    <n v="609"/>
    <n v="1680"/>
    <n v="0.64"/>
    <n v="105"/>
    <m/>
    <n v="42"/>
    <n v="105"/>
    <n v="3.2"/>
    <n v="3.3"/>
    <n v="0.65"/>
    <n v="0.64"/>
    <n v="0.79"/>
    <n v="0.78"/>
    <n v="0.4"/>
    <n v="0.36"/>
    <n v="19"/>
    <n v="13"/>
    <n v="4.0999999999999996"/>
    <n v="1"/>
    <n v="0.82"/>
    <n v="0.68"/>
    <n v="0.18"/>
    <n v="0.67"/>
    <n v="0.44"/>
    <x v="2"/>
    <x v="1"/>
    <x v="1"/>
    <x v="2"/>
    <x v="1"/>
    <x v="2"/>
    <x v="2"/>
  </r>
  <r>
    <s v="/krs/432"/>
    <n v="432"/>
    <s v="03"/>
    <x v="1"/>
    <x v="10"/>
    <x v="5"/>
    <d v="2018-03-12T00:00:00"/>
    <x v="14"/>
    <x v="0"/>
    <s v="Тема. &quot; Южные материки&quot;"/>
    <n v="331"/>
    <n v="215"/>
    <n v="546"/>
    <n v="0.61"/>
    <n v="26"/>
    <m/>
    <n v="10"/>
    <n v="26"/>
    <n v="2.9"/>
    <n v="3.3"/>
    <n v="0.67"/>
    <n v="0.61"/>
    <n v="0.96"/>
    <n v="0.76"/>
    <n v="0.38"/>
    <n v="0.39"/>
    <n v="25"/>
    <n v="15"/>
    <n v="4"/>
    <n v="1"/>
    <n v="0.8"/>
    <n v="0.6"/>
    <n v="0.2"/>
    <n v="0.75"/>
    <n v="0.48"/>
    <x v="2"/>
    <x v="1"/>
    <x v="1"/>
    <x v="2"/>
    <x v="1"/>
    <x v="2"/>
    <x v="2"/>
  </r>
  <r>
    <s v="/krs/433"/>
    <n v="433"/>
    <s v="03"/>
    <x v="1"/>
    <x v="10"/>
    <x v="2"/>
    <d v="2018-03-20T00:00:00"/>
    <x v="14"/>
    <x v="0"/>
    <s v="Тема &quot; Южные материки&quot;"/>
    <n v="283"/>
    <n v="221"/>
    <n v="504"/>
    <n v="0.56000000000000005"/>
    <n v="24"/>
    <m/>
    <n v="7"/>
    <n v="24"/>
    <n v="2.7"/>
    <n v="3.3"/>
    <n v="0.65"/>
    <n v="0.56000000000000005"/>
    <n v="0.96"/>
    <n v="0.68"/>
    <n v="0.28999999999999998"/>
    <n v="0.44"/>
    <n v="23"/>
    <n v="17"/>
    <n v="4.0999999999999996"/>
    <n v="1"/>
    <n v="0.82"/>
    <n v="0.74"/>
    <n v="0.18"/>
    <n v="0.65"/>
    <n v="0.48"/>
    <x v="2"/>
    <x v="3"/>
    <x v="1"/>
    <x v="2"/>
    <x v="1"/>
    <x v="2"/>
    <x v="2"/>
  </r>
  <r>
    <s v="/krs/434"/>
    <n v="434"/>
    <s v="03"/>
    <x v="1"/>
    <x v="10"/>
    <x v="19"/>
    <d v="2018-03-21T00:00:00"/>
    <x v="14"/>
    <x v="0"/>
    <s v="Тема &quot; Южные материки&quot;"/>
    <n v="200"/>
    <n v="262"/>
    <n v="462"/>
    <n v="0.43"/>
    <n v="22"/>
    <m/>
    <n v="4"/>
    <n v="22"/>
    <n v="2.1"/>
    <n v="3"/>
    <n v="0.59"/>
    <n v="0.43"/>
    <n v="0.77"/>
    <n v="0.55000000000000004"/>
    <n v="0.18"/>
    <n v="0.56999999999999995"/>
    <n v="18"/>
    <n v="13"/>
    <n v="3.9"/>
    <n v="1"/>
    <n v="0.78"/>
    <n v="0.72"/>
    <n v="0.22"/>
    <n v="0.53"/>
    <n v="0.37"/>
    <x v="1"/>
    <x v="3"/>
    <x v="1"/>
    <x v="2"/>
    <x v="1"/>
    <x v="2"/>
    <x v="2"/>
  </r>
  <r>
    <s v="/krs/435"/>
    <n v="435"/>
    <s v="03"/>
    <x v="1"/>
    <x v="10"/>
    <x v="25"/>
    <d v="2018-03-20T00:00:00"/>
    <x v="14"/>
    <x v="0"/>
    <s v="Тема &quot;Южные материки&quot;"/>
    <n v="140"/>
    <n v="322"/>
    <n v="462"/>
    <n v="0.3"/>
    <n v="21"/>
    <m/>
    <n v="0"/>
    <n v="21"/>
    <n v="2.2000000000000002"/>
    <n v="2.2999999999999998"/>
    <n v="0.46"/>
    <n v="0.3"/>
    <n v="0.28999999999999998"/>
    <n v="0"/>
    <n v="0"/>
    <n v="0.7"/>
    <n v="0"/>
    <n v="0"/>
    <n v="0"/>
    <n v="0"/>
    <n v="0"/>
    <n v="0"/>
    <n v="1"/>
    <n v="0.46"/>
    <n v="0.17"/>
    <x v="1"/>
    <x v="3"/>
    <x v="2"/>
    <x v="1"/>
    <x v="2"/>
    <x v="3"/>
    <x v="2"/>
  </r>
  <r>
    <s v="/krs/436"/>
    <n v="436"/>
    <s v="03"/>
    <x v="1"/>
    <x v="10"/>
    <x v="31"/>
    <d v="2018-03-16T00:00:00"/>
    <x v="14"/>
    <x v="0"/>
    <s v="тема &quot; Научно-техническая революция и Мировое хозяйство&quot;"/>
    <n v="400"/>
    <n v="209"/>
    <n v="609"/>
    <n v="0.66"/>
    <n v="21"/>
    <m/>
    <n v="15"/>
    <n v="20"/>
    <n v="3.3"/>
    <n v="3.5"/>
    <n v="0.74"/>
    <n v="0.66"/>
    <n v="0.9"/>
    <n v="0.81"/>
    <n v="0.75"/>
    <n v="0.34"/>
    <n v="14"/>
    <n v="11"/>
    <n v="4"/>
    <n v="1"/>
    <n v="0.81"/>
    <n v="0.79"/>
    <n v="0.19"/>
    <n v="0.74"/>
    <n v="0.48"/>
    <x v="2"/>
    <x v="1"/>
    <x v="1"/>
    <x v="2"/>
    <x v="2"/>
    <x v="2"/>
    <x v="2"/>
  </r>
  <r>
    <s v="/krs/437"/>
    <n v="437"/>
    <s v="02"/>
    <x v="1"/>
    <x v="7"/>
    <x v="31"/>
    <d v="2018-03-21T00:00:00"/>
    <x v="10"/>
    <x v="0"/>
    <s v="Кислородсодержащие вещества"/>
    <n v="150"/>
    <n v="105"/>
    <n v="255"/>
    <n v="0.59"/>
    <n v="17"/>
    <m/>
    <n v="2"/>
    <n v="15"/>
    <n v="3.2"/>
    <n v="1.4"/>
    <n v="0.32"/>
    <n v="0.59"/>
    <n v="0"/>
    <n v="0.74"/>
    <n v="0.13"/>
    <n v="0.41"/>
    <n v="10"/>
    <n v="7"/>
    <n v="4"/>
    <n v="1"/>
    <n v="0.8"/>
    <n v="0.7"/>
    <n v="0.2"/>
    <n v="0.59"/>
    <n v="0"/>
    <x v="1"/>
    <x v="3"/>
    <x v="2"/>
    <x v="2"/>
    <x v="1"/>
    <x v="2"/>
    <x v="2"/>
  </r>
  <r>
    <s v="/krs/438"/>
    <n v="438"/>
    <s v="ИКР"/>
    <x v="4"/>
    <x v="1"/>
    <x v="18"/>
    <d v="2018-05-03T00:00:00"/>
    <x v="1"/>
    <x v="1"/>
    <s v="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русскому языку для 9-х классов."/>
    <n v="1086"/>
    <n v="570"/>
    <n v="1656"/>
    <n v="0.66"/>
    <n v="72"/>
    <m/>
    <n v="33"/>
    <n v="72"/>
    <n v="3.4"/>
    <n v="3.4"/>
    <n v="0.67"/>
    <n v="0.66"/>
    <n v="0.82"/>
    <n v="0.86"/>
    <n v="0.46"/>
    <n v="0.34"/>
    <n v="45"/>
    <n v="25"/>
    <n v="3.9"/>
    <n v="0.96"/>
    <n v="0.77"/>
    <n v="0.56000000000000005"/>
    <n v="0.23"/>
    <n v="0.62"/>
    <n v="0.63"/>
    <x v="2"/>
    <x v="1"/>
    <x v="1"/>
    <x v="2"/>
    <x v="1"/>
    <x v="2"/>
    <x v="2"/>
  </r>
  <r>
    <s v="/krs/439"/>
    <n v="439"/>
    <s v="ИКР"/>
    <x v="4"/>
    <x v="1"/>
    <x v="6"/>
    <d v="2018-05-22T00:00:00"/>
    <x v="1"/>
    <x v="1"/>
    <s v="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русскому языку для 8-х классов."/>
    <n v="1559"/>
    <n v="971"/>
    <n v="2530"/>
    <n v="0.62"/>
    <n v="115"/>
    <m/>
    <n v="38"/>
    <n v="115"/>
    <n v="3.2"/>
    <n v="3.2"/>
    <n v="0.64"/>
    <n v="0.62"/>
    <n v="0.85"/>
    <n v="0.77"/>
    <n v="0.33"/>
    <n v="0.38"/>
    <n v="84"/>
    <n v="63"/>
    <n v="4.0999999999999996"/>
    <n v="0.99"/>
    <n v="0.81"/>
    <n v="0.75"/>
    <n v="0.19"/>
    <n v="0.61"/>
    <n v="0.63"/>
    <x v="2"/>
    <x v="1"/>
    <x v="1"/>
    <x v="2"/>
    <x v="1"/>
    <x v="2"/>
    <x v="2"/>
  </r>
  <r>
    <s v="/krs/440"/>
    <n v="440"/>
    <s v="ИКР"/>
    <x v="4"/>
    <x v="1"/>
    <x v="50"/>
    <d v="2018-05-10T00:00:00"/>
    <x v="1"/>
    <x v="1"/>
    <s v="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русскому языку для 11-х классов."/>
    <n v="1693"/>
    <n v="353"/>
    <n v="2046"/>
    <n v="0.83"/>
    <n v="66"/>
    <m/>
    <n v="57"/>
    <n v="66"/>
    <n v="4.0999999999999996"/>
    <n v="4.0999999999999996"/>
    <n v="0.82"/>
    <n v="0.83"/>
    <n v="0.98"/>
    <n v="1.05"/>
    <n v="0.86"/>
    <n v="0.17"/>
    <n v="65"/>
    <n v="46"/>
    <n v="3.9"/>
    <n v="1"/>
    <n v="0.79"/>
    <n v="0.71"/>
    <n v="0.21"/>
    <n v="0.8"/>
    <n v="0.85"/>
    <x v="2"/>
    <x v="2"/>
    <x v="1"/>
    <x v="1"/>
    <x v="1"/>
    <x v="3"/>
    <x v="1"/>
  </r>
  <r>
    <s v="/krs/441"/>
    <n v="441"/>
    <s v="ИКР"/>
    <x v="4"/>
    <x v="12"/>
    <x v="18"/>
    <d v="2018-05-15T00:00:00"/>
    <x v="1"/>
    <x v="1"/>
    <s v="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литературе для 9-х классов."/>
    <n v="1427"/>
    <n v="845"/>
    <n v="2272"/>
    <n v="0.63"/>
    <n v="71"/>
    <m/>
    <n v="29"/>
    <n v="71"/>
    <n v="3.4"/>
    <n v="3.4"/>
    <n v="0.67"/>
    <n v="0.63"/>
    <n v="0.92"/>
    <n v="0.76"/>
    <n v="0.41"/>
    <n v="0.37"/>
    <n v="44"/>
    <n v="31"/>
    <n v="4.2"/>
    <n v="0.98"/>
    <n v="0.83"/>
    <n v="0.7"/>
    <n v="0.17"/>
    <n v="0.65"/>
    <n v="0.56999999999999995"/>
    <x v="2"/>
    <x v="1"/>
    <x v="1"/>
    <x v="2"/>
    <x v="1"/>
    <x v="2"/>
    <x v="2"/>
  </r>
  <r>
    <s v="/krs/442"/>
    <n v="442"/>
    <s v="ИКР"/>
    <x v="4"/>
    <x v="10"/>
    <x v="52"/>
    <d v="2018-05-16T00:00:00"/>
    <x v="27"/>
    <x v="0"/>
    <m/>
    <n v="1409"/>
    <n v="1144"/>
    <n v="2553"/>
    <n v="0.55000000000000004"/>
    <n v="111"/>
    <m/>
    <n v="36"/>
    <n v="111"/>
    <n v="3.1"/>
    <n v="3.1"/>
    <n v="0.62"/>
    <n v="0.55000000000000004"/>
    <n v="0.76"/>
    <n v="0"/>
    <n v="0.32"/>
    <n v="0.45"/>
    <n v="0"/>
    <n v="0"/>
    <n v="0"/>
    <n v="0"/>
    <n v="0"/>
    <n v="0"/>
    <n v="1"/>
    <n v="0.62"/>
    <n v="0.45"/>
    <x v="2"/>
    <x v="3"/>
    <x v="1"/>
    <x v="1"/>
    <x v="1"/>
    <x v="3"/>
    <x v="2"/>
  </r>
  <r>
    <s v="/krs/445"/>
    <n v="445"/>
    <s v="Устное собеседование"/>
    <x v="3"/>
    <x v="1"/>
    <x v="6"/>
    <d v="2018-05-03T00:00:00"/>
    <x v="1"/>
    <x v="1"/>
    <s v="Устное собеседование по русскому языку"/>
    <n v="1585"/>
    <n v="505"/>
    <n v="2090"/>
    <n v="0.76"/>
    <n v="110"/>
    <m/>
    <n v="74"/>
    <n v="110"/>
    <n v="3.7"/>
    <n v="3.7"/>
    <n v="0.74"/>
    <n v="0.76"/>
    <n v="1"/>
    <n v="0.94"/>
    <n v="0.67"/>
    <n v="0.24"/>
    <n v="79"/>
    <n v="60"/>
    <n v="4.0999999999999996"/>
    <n v="0.99"/>
    <n v="0.81"/>
    <n v="0.76"/>
    <n v="0.19"/>
    <n v="0.77"/>
    <n v="0.93"/>
    <x v="2"/>
    <x v="2"/>
    <x v="1"/>
    <x v="1"/>
    <x v="2"/>
    <x v="1"/>
    <x v="1"/>
  </r>
  <r>
    <s v="/krs/447"/>
    <n v="447"/>
    <s v="07"/>
    <x v="4"/>
    <x v="5"/>
    <x v="30"/>
    <d v="2018-05-22T00:00:00"/>
    <x v="36"/>
    <x v="1"/>
    <m/>
    <n v="221"/>
    <n v="87"/>
    <n v="308"/>
    <n v="0.72"/>
    <n v="11"/>
    <m/>
    <n v="8"/>
    <n v="11"/>
    <n v="3.8"/>
    <n v="3.8"/>
    <n v="0.76"/>
    <n v="0.72"/>
    <n v="1"/>
    <n v="0.89"/>
    <n v="0.73"/>
    <n v="0.28000000000000003"/>
    <n v="11"/>
    <n v="7"/>
    <n v="4.0999999999999996"/>
    <n v="1"/>
    <n v="0.81"/>
    <n v="0.64"/>
    <n v="0.19"/>
    <n v="0.69"/>
    <n v="0.9"/>
    <x v="2"/>
    <x v="2"/>
    <x v="1"/>
    <x v="3"/>
    <x v="2"/>
    <x v="1"/>
    <x v="2"/>
  </r>
  <r>
    <s v="/krs/448"/>
    <n v="448"/>
    <s v="Сочинение"/>
    <x v="1"/>
    <x v="1"/>
    <x v="1"/>
    <d v="2018-04-09T00:00:00"/>
    <x v="1"/>
    <x v="1"/>
    <m/>
    <n v="181"/>
    <n v="139"/>
    <n v="320"/>
    <n v="0.56999999999999995"/>
    <n v="16"/>
    <m/>
    <n v="4"/>
    <n v="16"/>
    <n v="2.9"/>
    <n v="3.2"/>
    <n v="0.64"/>
    <n v="0.56999999999999995"/>
    <n v="0.94"/>
    <n v="0.8"/>
    <n v="0.25"/>
    <n v="0.43"/>
    <n v="16"/>
    <n v="9"/>
    <n v="3.6"/>
    <n v="1"/>
    <n v="0.71"/>
    <n v="0.56000000000000005"/>
    <n v="0.28999999999999998"/>
    <n v="0.47"/>
    <n v="0.74"/>
    <x v="2"/>
    <x v="3"/>
    <x v="1"/>
    <x v="2"/>
    <x v="1"/>
    <x v="2"/>
    <x v="2"/>
  </r>
  <r>
    <s v="/krs/449"/>
    <n v="449"/>
    <s v="Сочинение"/>
    <x v="1"/>
    <x v="1"/>
    <x v="3"/>
    <d v="2018-04-12T00:00:00"/>
    <x v="1"/>
    <x v="1"/>
    <s v="Сочинение на основе исходного текста (задание 15.2, 15.3 ОГЭ)"/>
    <n v="216"/>
    <n v="141"/>
    <n v="357"/>
    <n v="0.61"/>
    <n v="21"/>
    <m/>
    <n v="5"/>
    <n v="21"/>
    <n v="3"/>
    <n v="3.2"/>
    <n v="0.65"/>
    <n v="0.61"/>
    <n v="1"/>
    <n v="0"/>
    <n v="0.24"/>
    <n v="0.39"/>
    <n v="0"/>
    <n v="0"/>
    <n v="0"/>
    <n v="0"/>
    <n v="0"/>
    <n v="0"/>
    <n v="1"/>
    <n v="0"/>
    <n v="0.61"/>
    <x v="2"/>
    <x v="1"/>
    <x v="1"/>
    <x v="1"/>
    <x v="1"/>
    <x v="3"/>
    <x v="2"/>
  </r>
  <r>
    <s v="/krs/450"/>
    <n v="450"/>
    <s v="Тест №5"/>
    <x v="1"/>
    <x v="1"/>
    <x v="10"/>
    <d v="2018-04-13T00:00:00"/>
    <x v="1"/>
    <x v="1"/>
    <s v="Тематический контроль по теме &quot;Обособленные члены предложения&quot;"/>
    <n v="260"/>
    <n v="100"/>
    <n v="360"/>
    <n v="0.72"/>
    <n v="18"/>
    <m/>
    <n v="12"/>
    <n v="18"/>
    <n v="3.6"/>
    <n v="3.9"/>
    <n v="0.78"/>
    <n v="0.72"/>
    <n v="0.89"/>
    <n v="0.88"/>
    <n v="0.67"/>
    <n v="0.28000000000000003"/>
    <n v="16"/>
    <n v="11"/>
    <n v="4.0999999999999996"/>
    <n v="1"/>
    <n v="0.82"/>
    <n v="0.69"/>
    <n v="0.18"/>
    <n v="0.73"/>
    <n v="0"/>
    <x v="2"/>
    <x v="2"/>
    <x v="1"/>
    <x v="3"/>
    <x v="2"/>
    <x v="2"/>
    <x v="2"/>
  </r>
  <r>
    <s v="/krs/451"/>
    <n v="451"/>
    <s v="6"/>
    <x v="1"/>
    <x v="1"/>
    <x v="17"/>
    <d v="2018-03-14T00:00:00"/>
    <x v="9"/>
    <x v="0"/>
    <s v="Контрольная работа по теме &quot;Числительное&quot;"/>
    <n v="95"/>
    <n v="25"/>
    <n v="120"/>
    <n v="0.79"/>
    <n v="24"/>
    <m/>
    <n v="18"/>
    <n v="24"/>
    <n v="4.2"/>
    <n v="4"/>
    <n v="0.79"/>
    <n v="0.79"/>
    <n v="1"/>
    <n v="0.87"/>
    <n v="0.75"/>
    <n v="0.21"/>
    <n v="23"/>
    <n v="23"/>
    <n v="4.5"/>
    <n v="1"/>
    <n v="0.91"/>
    <n v="1"/>
    <n v="0.09"/>
    <n v="0.79"/>
    <n v="0"/>
    <x v="2"/>
    <x v="2"/>
    <x v="1"/>
    <x v="2"/>
    <x v="1"/>
    <x v="2"/>
    <x v="2"/>
  </r>
  <r>
    <s v="/krs/452"/>
    <n v="452"/>
    <s v="7"/>
    <x v="4"/>
    <x v="2"/>
    <x v="18"/>
    <d v="2018-05-10T00:00:00"/>
    <x v="2"/>
    <x v="0"/>
    <s v="Итоговая контрольная работа"/>
    <n v="1495"/>
    <n v="429"/>
    <n v="1924"/>
    <n v="0.78"/>
    <n v="74"/>
    <m/>
    <n v="56"/>
    <n v="74"/>
    <n v="3.9"/>
    <n v="3.9"/>
    <n v="0.79"/>
    <n v="0.78"/>
    <n v="0.97"/>
    <n v="0.99"/>
    <n v="0.76"/>
    <n v="0.22"/>
    <n v="47"/>
    <n v="28"/>
    <n v="3.9"/>
    <n v="1"/>
    <n v="0.79"/>
    <n v="0.6"/>
    <n v="0.21"/>
    <n v="0.89"/>
    <n v="0.41"/>
    <x v="2"/>
    <x v="2"/>
    <x v="1"/>
    <x v="1"/>
    <x v="1"/>
    <x v="3"/>
    <x v="1"/>
  </r>
  <r>
    <s v="/krs/453"/>
    <n v="453"/>
    <s v="4"/>
    <x v="1"/>
    <x v="1"/>
    <x v="7"/>
    <d v="2018-03-02T00:00:00"/>
    <x v="9"/>
    <x v="0"/>
    <s v="Контрольная работа по теме &quot;Однородные члены предложения&quot;"/>
    <n v="110"/>
    <n v="34"/>
    <n v="144"/>
    <n v="0.76"/>
    <n v="24"/>
    <m/>
    <n v="17"/>
    <n v="24"/>
    <n v="3.8"/>
    <n v="3.9"/>
    <n v="0.78"/>
    <n v="0.76"/>
    <n v="0.92"/>
    <n v="0.76"/>
    <n v="0.71"/>
    <n v="0.24"/>
    <n v="1"/>
    <n v="1"/>
    <n v="5"/>
    <n v="1"/>
    <n v="1"/>
    <n v="1"/>
    <n v="0"/>
    <n v="0.76"/>
    <n v="0"/>
    <x v="2"/>
    <x v="2"/>
    <x v="1"/>
    <x v="2"/>
    <x v="1"/>
    <x v="2"/>
    <x v="2"/>
  </r>
  <r>
    <s v="/krs/454"/>
    <n v="454"/>
    <s v="4"/>
    <x v="1"/>
    <x v="1"/>
    <x v="4"/>
    <d v="2018-03-13T00:00:00"/>
    <x v="9"/>
    <x v="0"/>
    <s v="Однородные члены предложения"/>
    <n v="86"/>
    <n v="29"/>
    <n v="115"/>
    <n v="0.75"/>
    <n v="23"/>
    <m/>
    <n v="14"/>
    <n v="23"/>
    <n v="4"/>
    <n v="3.8"/>
    <n v="0.77"/>
    <n v="0.75"/>
    <n v="1"/>
    <n v="0"/>
    <n v="0.61"/>
    <n v="0.25"/>
    <n v="0"/>
    <n v="0"/>
    <n v="0"/>
    <n v="0"/>
    <n v="0"/>
    <n v="0"/>
    <n v="1"/>
    <n v="0.73"/>
    <n v="0.83"/>
    <x v="2"/>
    <x v="2"/>
    <x v="1"/>
    <x v="1"/>
    <x v="1"/>
    <x v="3"/>
    <x v="2"/>
  </r>
  <r>
    <s v="/krs/455"/>
    <n v="455"/>
    <s v="13"/>
    <x v="4"/>
    <x v="2"/>
    <x v="56"/>
    <d v="2018-05-10T00:00:00"/>
    <x v="23"/>
    <x v="0"/>
    <s v="Итоговая контрольная работа по курсу математики 6 класса (УМК А.Г. Мерзляк)"/>
    <n v="485"/>
    <n v="187"/>
    <n v="672"/>
    <n v="0.72"/>
    <n v="54"/>
    <m/>
    <n v="34"/>
    <n v="54"/>
    <n v="3.8"/>
    <n v="3.8"/>
    <n v="0.76"/>
    <n v="0.72"/>
    <n v="0.94"/>
    <n v="0.88"/>
    <n v="0.63"/>
    <n v="0.28000000000000003"/>
    <n v="54"/>
    <n v="39"/>
    <n v="4.0999999999999996"/>
    <n v="1"/>
    <n v="0.82"/>
    <n v="0.72"/>
    <n v="0.18"/>
    <n v="0.84"/>
    <n v="0.49"/>
    <x v="2"/>
    <x v="2"/>
    <x v="1"/>
    <x v="3"/>
    <x v="2"/>
    <x v="2"/>
    <x v="2"/>
  </r>
  <r>
    <s v="/krs/457"/>
    <n v="457"/>
    <s v="10"/>
    <x v="4"/>
    <x v="2"/>
    <x v="57"/>
    <d v="2018-05-03T00:00:00"/>
    <x v="23"/>
    <x v="0"/>
    <s v="Итоговая контрольная работа по курсу математики 6 класс"/>
    <n v="713"/>
    <n v="211"/>
    <n v="924"/>
    <n v="0.77"/>
    <n v="65"/>
    <m/>
    <n v="49"/>
    <n v="65"/>
    <n v="4.0999999999999996"/>
    <n v="4.0999999999999996"/>
    <n v="0.81"/>
    <n v="0.77"/>
    <n v="1"/>
    <n v="0.95"/>
    <n v="0.75"/>
    <n v="0.23"/>
    <n v="62"/>
    <n v="45"/>
    <n v="4"/>
    <n v="1"/>
    <n v="0.81"/>
    <n v="0.73"/>
    <n v="0.19"/>
    <n v="0.79"/>
    <n v="0.68"/>
    <x v="2"/>
    <x v="2"/>
    <x v="1"/>
    <x v="1"/>
    <x v="2"/>
    <x v="3"/>
    <x v="1"/>
  </r>
  <r>
    <s v="/krs/458"/>
    <n v="458"/>
    <s v="ИКР"/>
    <x v="4"/>
    <x v="10"/>
    <x v="40"/>
    <d v="2018-05-18T00:00:00"/>
    <x v="27"/>
    <x v="0"/>
    <m/>
    <n v="1549"/>
    <n v="769"/>
    <n v="2318"/>
    <n v="0.67"/>
    <n v="116"/>
    <m/>
    <n v="70"/>
    <n v="116"/>
    <n v="3.6"/>
    <n v="3.7"/>
    <n v="0.74"/>
    <n v="0.67"/>
    <n v="0.97"/>
    <n v="0.79"/>
    <n v="0.6"/>
    <n v="0.33"/>
    <n v="116"/>
    <n v="105"/>
    <n v="4.3"/>
    <n v="1"/>
    <n v="0.85"/>
    <n v="0.91"/>
    <n v="0.15"/>
    <n v="0.66"/>
    <n v="0.63"/>
    <x v="2"/>
    <x v="1"/>
    <x v="1"/>
    <x v="2"/>
    <x v="1"/>
    <x v="2"/>
    <x v="2"/>
  </r>
  <r>
    <s v="/krs/459"/>
    <n v="459"/>
    <s v="ИКР"/>
    <x v="4"/>
    <x v="10"/>
    <x v="18"/>
    <d v="2018-05-15T00:00:00"/>
    <x v="27"/>
    <x v="0"/>
    <m/>
    <n v="1480"/>
    <n v="444"/>
    <n v="1924"/>
    <n v="0.77"/>
    <n v="74"/>
    <m/>
    <n v="54"/>
    <n v="74"/>
    <n v="3.9"/>
    <n v="3.9"/>
    <n v="0.78"/>
    <n v="0.77"/>
    <n v="1"/>
    <n v="0.93"/>
    <n v="0.73"/>
    <n v="0.23"/>
    <n v="47"/>
    <n v="32"/>
    <n v="4.2"/>
    <n v="1"/>
    <n v="0.83"/>
    <n v="0.68"/>
    <n v="0.17"/>
    <n v="0.77"/>
    <n v="0.67"/>
    <x v="2"/>
    <x v="2"/>
    <x v="1"/>
    <x v="3"/>
    <x v="2"/>
    <x v="1"/>
    <x v="1"/>
  </r>
  <r>
    <s v="/krs/460"/>
    <n v="460"/>
    <s v="7"/>
    <x v="4"/>
    <x v="2"/>
    <x v="41"/>
    <d v="2018-05-04T00:00:00"/>
    <x v="2"/>
    <x v="0"/>
    <s v="Итоговая контрольная работа "/>
    <n v="210"/>
    <n v="50"/>
    <n v="260"/>
    <n v="0.81"/>
    <n v="13"/>
    <m/>
    <n v="12"/>
    <n v="13"/>
    <n v="4.3"/>
    <n v="4.3"/>
    <n v="0.86"/>
    <n v="0.81"/>
    <n v="0.92"/>
    <n v="1.08"/>
    <n v="0.92"/>
    <n v="0.19"/>
    <n v="6"/>
    <n v="3"/>
    <n v="3.8"/>
    <n v="1"/>
    <n v="0.75"/>
    <n v="0.5"/>
    <n v="0.25"/>
    <n v="0.81"/>
    <n v="0"/>
    <x v="2"/>
    <x v="2"/>
    <x v="1"/>
    <x v="1"/>
    <x v="1"/>
    <x v="3"/>
    <x v="1"/>
  </r>
  <r>
    <s v="/krs/463"/>
    <n v="463"/>
    <s v="463 итог"/>
    <x v="4"/>
    <x v="2"/>
    <x v="43"/>
    <d v="2018-04-15T21:00:38"/>
    <x v="25"/>
    <x v="0"/>
    <m/>
    <n v="1348"/>
    <n v="758"/>
    <n v="2106"/>
    <n v="0.64"/>
    <n v="81"/>
    <m/>
    <n v="31"/>
    <n v="81"/>
    <n v="3.2"/>
    <n v="3.2"/>
    <n v="0.64"/>
    <n v="0.64"/>
    <n v="0.8"/>
    <n v="0.84"/>
    <n v="0.38"/>
    <n v="0.36"/>
    <n v="74"/>
    <n v="34"/>
    <n v="3.8"/>
    <n v="1"/>
    <n v="0.76"/>
    <n v="0.46"/>
    <n v="0.24"/>
    <n v="0.7"/>
    <n v="0.43"/>
    <x v="2"/>
    <x v="1"/>
    <x v="1"/>
    <x v="2"/>
    <x v="2"/>
    <x v="2"/>
    <x v="2"/>
  </r>
  <r>
    <s v="/krs/464"/>
    <n v="464"/>
    <s v="Контрольная работа №3"/>
    <x v="1"/>
    <x v="1"/>
    <x v="31"/>
    <d v="2018-04-10T00:00:00"/>
    <x v="9"/>
    <x v="0"/>
    <s v="Контрольная работа №3 по теме &quot;Самостоятельные части речи&quot;: определение уровня усвоения учащимися контрольных элементов содержания и сформированности учебных действий, предусмотренных программой по русскому языку для 10-х классов по темам &quot;Имя существительное&quot;, &quot;Имя прилагательное&quot;, &quot;Имя числительное&quot;."/>
    <n v="176"/>
    <n v="31"/>
    <n v="207"/>
    <n v="0.85"/>
    <n v="23"/>
    <m/>
    <n v="20"/>
    <n v="23"/>
    <n v="4.4000000000000004"/>
    <n v="4.5"/>
    <n v="0.9"/>
    <n v="0.85"/>
    <n v="1"/>
    <n v="0"/>
    <n v="0.87"/>
    <n v="0.15"/>
    <n v="0"/>
    <n v="0"/>
    <n v="0"/>
    <n v="0"/>
    <n v="0"/>
    <n v="0"/>
    <n v="1"/>
    <n v="0.85"/>
    <n v="0.87"/>
    <x v="2"/>
    <x v="2"/>
    <x v="1"/>
    <x v="1"/>
    <x v="1"/>
    <x v="3"/>
    <x v="2"/>
  </r>
  <r>
    <s v="/krs/465"/>
    <n v="465"/>
    <s v="Контрольная работа №2"/>
    <x v="1"/>
    <x v="1"/>
    <x v="31"/>
    <d v="2018-01-30T00:00:00"/>
    <x v="9"/>
    <x v="0"/>
    <s v="Контрольная работа №2 по теме &quot;Морфемика и орфография&quot;:  определение уровня усвоения учащимися контрольных элементов содержания и сформированности учебных действий, предусмотренных программой по русскому языку для 10-х классов по теме &quot;Морфемика и орфография&quot;"/>
    <n v="86"/>
    <n v="40"/>
    <n v="126"/>
    <n v="0.68"/>
    <n v="21"/>
    <m/>
    <n v="14"/>
    <n v="21"/>
    <n v="3.4"/>
    <n v="3.5"/>
    <n v="0.7"/>
    <n v="0.68"/>
    <n v="0.81"/>
    <n v="0.76"/>
    <n v="0.67"/>
    <n v="0.32"/>
    <n v="12"/>
    <n v="12"/>
    <n v="4.5"/>
    <n v="1"/>
    <n v="0.9"/>
    <n v="1"/>
    <n v="0.1"/>
    <n v="0.74"/>
    <n v="0.56999999999999995"/>
    <x v="2"/>
    <x v="1"/>
    <x v="1"/>
    <x v="2"/>
    <x v="1"/>
    <x v="2"/>
    <x v="2"/>
  </r>
  <r>
    <s v="/krs/466"/>
    <n v="466"/>
    <s v="1"/>
    <x v="4"/>
    <x v="11"/>
    <x v="52"/>
    <d v="2018-05-16T00:00:00"/>
    <x v="28"/>
    <x v="0"/>
    <m/>
    <n v="930"/>
    <n v="402"/>
    <n v="1332"/>
    <n v="0.7"/>
    <n v="111"/>
    <m/>
    <n v="86"/>
    <n v="111"/>
    <n v="3.6"/>
    <n v="3.8"/>
    <n v="0.76"/>
    <n v="0.7"/>
    <n v="0.88"/>
    <n v="0"/>
    <n v="0.77"/>
    <n v="0.3"/>
    <n v="0"/>
    <n v="0"/>
    <n v="0"/>
    <n v="0"/>
    <n v="0"/>
    <n v="0"/>
    <n v="1"/>
    <n v="0.66"/>
    <n v="0.75"/>
    <x v="2"/>
    <x v="2"/>
    <x v="1"/>
    <x v="1"/>
    <x v="1"/>
    <x v="3"/>
    <x v="2"/>
  </r>
  <r>
    <s v="/krs/468"/>
    <n v="468"/>
    <s v="1"/>
    <x v="4"/>
    <x v="11"/>
    <x v="40"/>
    <d v="2018-05-12T00:00:00"/>
    <x v="28"/>
    <x v="0"/>
    <m/>
    <n v="1139"/>
    <n v="646"/>
    <n v="1785"/>
    <n v="0.64"/>
    <n v="117"/>
    <m/>
    <n v="65"/>
    <n v="117"/>
    <n v="3.3"/>
    <n v="3.5"/>
    <n v="0.71"/>
    <n v="0.64"/>
    <n v="0.88"/>
    <n v="0.71"/>
    <n v="0.56000000000000005"/>
    <n v="0.36"/>
    <n v="113"/>
    <n v="107"/>
    <n v="4.5"/>
    <n v="1"/>
    <n v="0.9"/>
    <n v="0.95"/>
    <n v="0.1"/>
    <n v="0.72"/>
    <n v="0.53"/>
    <x v="2"/>
    <x v="1"/>
    <x v="1"/>
    <x v="2"/>
    <x v="1"/>
    <x v="2"/>
    <x v="2"/>
  </r>
  <r>
    <s v="/krs/469"/>
    <n v="469"/>
    <s v="1"/>
    <x v="4"/>
    <x v="11"/>
    <x v="58"/>
    <d v="2018-05-16T00:00:00"/>
    <x v="28"/>
    <x v="0"/>
    <m/>
    <n v="1047"/>
    <n v="649"/>
    <n v="1696"/>
    <n v="0.62"/>
    <n v="106"/>
    <m/>
    <n v="49"/>
    <n v="105"/>
    <n v="3.2"/>
    <n v="3.4"/>
    <n v="0.68"/>
    <n v="0.62"/>
    <n v="0.8"/>
    <n v="0.76"/>
    <n v="0.47"/>
    <n v="0.38"/>
    <n v="98"/>
    <n v="83"/>
    <n v="4.0999999999999996"/>
    <n v="1"/>
    <n v="0.82"/>
    <n v="0.85"/>
    <n v="0.18"/>
    <n v="0.66"/>
    <n v="0.56000000000000005"/>
    <x v="2"/>
    <x v="1"/>
    <x v="1"/>
    <x v="2"/>
    <x v="1"/>
    <x v="2"/>
    <x v="2"/>
  </r>
  <r>
    <s v="/krs/470"/>
    <n v="470"/>
    <s v="Устное собеседование по русскому языку"/>
    <x v="2"/>
    <x v="1"/>
    <x v="3"/>
    <d v="2018-04-16T08:00:43"/>
    <x v="1"/>
    <x v="1"/>
    <s v=""/>
    <n v="402"/>
    <n v="73"/>
    <n v="475"/>
    <n v="0.85"/>
    <n v="25"/>
    <m/>
    <n v="23"/>
    <n v="25"/>
    <n v="3.9"/>
    <n v="3.9"/>
    <n v="0.78"/>
    <n v="0.85"/>
    <n v="1"/>
    <n v="0"/>
    <n v="0.92"/>
    <n v="0.15"/>
    <n v="0"/>
    <n v="0"/>
    <n v="0"/>
    <n v="0"/>
    <n v="0"/>
    <n v="0"/>
    <n v="1"/>
    <n v="0.89"/>
    <n v="0"/>
    <x v="2"/>
    <x v="2"/>
    <x v="1"/>
    <x v="1"/>
    <x v="1"/>
    <x v="3"/>
    <x v="2"/>
  </r>
  <r>
    <s v="/krs/471"/>
    <n v="471"/>
    <s v="3"/>
    <x v="4"/>
    <x v="11"/>
    <x v="6"/>
    <d v="2018-05-18T00:00:00"/>
    <x v="28"/>
    <x v="0"/>
    <m/>
    <n v="795"/>
    <n v="355"/>
    <n v="1150"/>
    <n v="0.69"/>
    <n v="115"/>
    <m/>
    <n v="68"/>
    <n v="115"/>
    <n v="3.7"/>
    <n v="3.7"/>
    <n v="0.75"/>
    <n v="0.69"/>
    <n v="0.87"/>
    <n v="0.82"/>
    <n v="0.59"/>
    <n v="0.31"/>
    <n v="84"/>
    <n v="68"/>
    <n v="4.2"/>
    <n v="1"/>
    <n v="0.84"/>
    <n v="0.81"/>
    <n v="0.16"/>
    <n v="0.71"/>
    <n v="0.68"/>
    <x v="2"/>
    <x v="1"/>
    <x v="1"/>
    <x v="2"/>
    <x v="1"/>
    <x v="2"/>
    <x v="2"/>
  </r>
  <r>
    <s v="/krs/472"/>
    <n v="472"/>
    <s v="10"/>
    <x v="4"/>
    <x v="2"/>
    <x v="59"/>
    <d v="2018-05-14T00:00:00"/>
    <x v="29"/>
    <x v="1"/>
    <s v="Итоговая контрольная работа в форме ЕГЭ"/>
    <n v="559"/>
    <n v="215"/>
    <n v="774"/>
    <n v="0.72"/>
    <n v="43"/>
    <m/>
    <n v="31"/>
    <n v="43"/>
    <n v="3.7"/>
    <n v="3.7"/>
    <n v="0.74"/>
    <n v="0.72"/>
    <n v="0.98"/>
    <n v="0.89"/>
    <n v="0.72"/>
    <n v="0.28000000000000003"/>
    <n v="23"/>
    <n v="17"/>
    <n v="4.0999999999999996"/>
    <n v="1"/>
    <n v="0.81"/>
    <n v="0.74"/>
    <n v="0.19"/>
    <n v="0.86"/>
    <n v="0.67"/>
    <x v="2"/>
    <x v="2"/>
    <x v="1"/>
    <x v="3"/>
    <x v="2"/>
    <x v="1"/>
    <x v="2"/>
  </r>
  <r>
    <s v="/krs/473"/>
    <n v="473"/>
    <s v="8"/>
    <x v="4"/>
    <x v="2"/>
    <x v="50"/>
    <d v="2018-05-08T00:00:00"/>
    <x v="29"/>
    <x v="1"/>
    <s v="Итоговая контрольная работа в формате ЕГЭ"/>
    <n v="326"/>
    <n v="154"/>
    <n v="480"/>
    <n v="0.68"/>
    <n v="32"/>
    <m/>
    <n v="19"/>
    <n v="32"/>
    <n v="3.5"/>
    <n v="3.5"/>
    <n v="0.69"/>
    <n v="0.68"/>
    <n v="0.75"/>
    <n v="0.89"/>
    <n v="0.59"/>
    <n v="0.32"/>
    <n v="32"/>
    <n v="17"/>
    <n v="3.8"/>
    <n v="1"/>
    <n v="0.76"/>
    <n v="0.53"/>
    <n v="0.24"/>
    <n v="0.79"/>
    <n v="0.56000000000000005"/>
    <x v="2"/>
    <x v="1"/>
    <x v="1"/>
    <x v="3"/>
    <x v="2"/>
    <x v="1"/>
    <x v="2"/>
  </r>
  <r>
    <s v="/krs/474"/>
    <n v="474"/>
    <s v="1"/>
    <x v="4"/>
    <x v="11"/>
    <x v="18"/>
    <d v="2018-05-07T00:00:00"/>
    <x v="28"/>
    <x v="2"/>
    <m/>
    <n v="936"/>
    <n v="396"/>
    <n v="1332"/>
    <n v="0.7"/>
    <n v="74"/>
    <m/>
    <n v="38"/>
    <n v="74"/>
    <n v="3.5"/>
    <n v="3.7"/>
    <n v="0.73"/>
    <n v="0.7"/>
    <n v="0.91"/>
    <n v="0.91"/>
    <n v="0.51"/>
    <n v="0.3"/>
    <n v="47"/>
    <n v="25"/>
    <n v="3.9"/>
    <n v="1"/>
    <n v="0.77"/>
    <n v="0.53"/>
    <n v="0.23"/>
    <n v="0.73"/>
    <n v="0.67"/>
    <x v="2"/>
    <x v="2"/>
    <x v="1"/>
    <x v="3"/>
    <x v="2"/>
    <x v="1"/>
    <x v="1"/>
  </r>
  <r>
    <s v="/krs/475"/>
    <n v="475"/>
    <s v="02"/>
    <x v="4"/>
    <x v="3"/>
    <x v="60"/>
    <d v="2018-04-16T15:22:38"/>
    <x v="3"/>
    <x v="1"/>
    <s v="Итоговая контрольная работа по биологии за курс 6 класса"/>
    <n v="1246"/>
    <n v="778"/>
    <n v="2024"/>
    <n v="0.62"/>
    <n v="92"/>
    <m/>
    <n v="28"/>
    <n v="92"/>
    <n v="3.2"/>
    <n v="3.2"/>
    <n v="0.63"/>
    <n v="0.62"/>
    <n v="0.84"/>
    <n v="0.72"/>
    <n v="0.3"/>
    <n v="0.38"/>
    <n v="87"/>
    <n v="76"/>
    <n v="4.3"/>
    <n v="1"/>
    <n v="0.86"/>
    <n v="0.87"/>
    <n v="0.14000000000000001"/>
    <n v="0.56999999999999995"/>
    <n v="0.66"/>
    <x v="2"/>
    <x v="1"/>
    <x v="1"/>
    <x v="2"/>
    <x v="1"/>
    <x v="2"/>
    <x v="2"/>
  </r>
  <r>
    <s v="/krs/476"/>
    <n v="476"/>
    <s v="03"/>
    <x v="4"/>
    <x v="3"/>
    <x v="52"/>
    <d v="2018-04-16T19:41:34"/>
    <x v="3"/>
    <x v="1"/>
    <s v="Итоговая контрольная работа по биологии в 5 классах"/>
    <n v="1787"/>
    <n v="655"/>
    <n v="2442"/>
    <n v="0.73"/>
    <n v="111"/>
    <m/>
    <n v="72"/>
    <n v="111"/>
    <n v="3.8"/>
    <n v="3.8"/>
    <n v="0.75"/>
    <n v="0.73"/>
    <n v="0.97"/>
    <n v="0"/>
    <n v="0.65"/>
    <n v="0.27"/>
    <n v="0"/>
    <n v="0"/>
    <n v="0"/>
    <n v="0"/>
    <n v="0"/>
    <n v="0"/>
    <n v="1"/>
    <n v="0.79"/>
    <n v="0.7"/>
    <x v="2"/>
    <x v="2"/>
    <x v="1"/>
    <x v="1"/>
    <x v="1"/>
    <x v="3"/>
    <x v="2"/>
  </r>
  <r>
    <s v="/krs/480"/>
    <n v="480"/>
    <s v="2"/>
    <x v="1"/>
    <x v="1"/>
    <x v="7"/>
    <d v="2017-11-16T00:00:00"/>
    <x v="9"/>
    <x v="0"/>
    <s v="Контрольная работа по теме &quot;Подлежащее и сказуемое&quot;"/>
    <n v="144"/>
    <n v="31"/>
    <n v="175"/>
    <n v="0.82"/>
    <n v="25"/>
    <m/>
    <n v="22"/>
    <n v="25"/>
    <n v="4.3"/>
    <n v="4.0999999999999996"/>
    <n v="0.82"/>
    <n v="0.82"/>
    <n v="0.96"/>
    <n v="0"/>
    <n v="0.88"/>
    <n v="0.18"/>
    <n v="0"/>
    <n v="0"/>
    <n v="0"/>
    <n v="0"/>
    <n v="0"/>
    <n v="0"/>
    <n v="1"/>
    <n v="0.84"/>
    <n v="0.72"/>
    <x v="2"/>
    <x v="2"/>
    <x v="1"/>
    <x v="1"/>
    <x v="1"/>
    <x v="3"/>
    <x v="2"/>
  </r>
  <r>
    <s v="/krs/481"/>
    <n v="481"/>
    <s v="3"/>
    <x v="1"/>
    <x v="1"/>
    <x v="7"/>
    <d v="2017-12-07T00:00:00"/>
    <x v="9"/>
    <x v="0"/>
    <s v="Контрольная работа №3 по теме &quot;Члены предложения&quot;"/>
    <n v="210"/>
    <n v="65"/>
    <n v="275"/>
    <n v="0.76"/>
    <n v="25"/>
    <m/>
    <n v="18"/>
    <n v="25"/>
    <n v="4.0999999999999996"/>
    <n v="3.9"/>
    <n v="0.78"/>
    <n v="0.76"/>
    <n v="0.96"/>
    <n v="0"/>
    <n v="0.72"/>
    <n v="0.24"/>
    <n v="0"/>
    <n v="0"/>
    <n v="0"/>
    <n v="0"/>
    <n v="0"/>
    <n v="0"/>
    <n v="1"/>
    <n v="0.76"/>
    <n v="0"/>
    <x v="2"/>
    <x v="2"/>
    <x v="1"/>
    <x v="1"/>
    <x v="1"/>
    <x v="3"/>
    <x v="2"/>
  </r>
  <r>
    <s v="/krs/482"/>
    <n v="482"/>
    <s v="02"/>
    <x v="4"/>
    <x v="3"/>
    <x v="58"/>
    <d v="2018-04-16T21:35:00"/>
    <x v="3"/>
    <x v="1"/>
    <s v="Итоговая контрольная работа по биологии 7 класс"/>
    <n v="1583"/>
    <n v="664"/>
    <n v="2247"/>
    <n v="0.7"/>
    <n v="107"/>
    <m/>
    <n v="64"/>
    <n v="107"/>
    <n v="3.6"/>
    <n v="3.6"/>
    <n v="0.72"/>
    <n v="0.7"/>
    <n v="0.91"/>
    <n v="0.84"/>
    <n v="0.6"/>
    <n v="0.3"/>
    <n v="98"/>
    <n v="74"/>
    <n v="4.2"/>
    <n v="1"/>
    <n v="0.83"/>
    <n v="0.76"/>
    <n v="0.17"/>
    <n v="0.7"/>
    <n v="0.7"/>
    <x v="2"/>
    <x v="2"/>
    <x v="1"/>
    <x v="2"/>
    <x v="1"/>
    <x v="2"/>
    <x v="2"/>
  </r>
  <r>
    <s v="/krs/483"/>
    <n v="483"/>
    <s v="483 итог 5Г, 5В"/>
    <x v="4"/>
    <x v="8"/>
    <x v="61"/>
    <d v="2018-04-17T09:39:05"/>
    <x v="12"/>
    <x v="1"/>
    <m/>
    <n v="563"/>
    <n v="193"/>
    <n v="756"/>
    <n v="0.74"/>
    <n v="28"/>
    <m/>
    <n v="18"/>
    <n v="28"/>
    <n v="3.8"/>
    <n v="3.8"/>
    <n v="0.76"/>
    <n v="0.74"/>
    <n v="1"/>
    <n v="0"/>
    <n v="0.64"/>
    <n v="0.26"/>
    <n v="0"/>
    <n v="0"/>
    <n v="0"/>
    <n v="0"/>
    <n v="0"/>
    <n v="0"/>
    <n v="1"/>
    <n v="0.69"/>
    <n v="0"/>
    <x v="2"/>
    <x v="2"/>
    <x v="1"/>
    <x v="1"/>
    <x v="1"/>
    <x v="3"/>
    <x v="2"/>
  </r>
  <r>
    <s v="/krs/484"/>
    <n v="484"/>
    <s v="ИКР"/>
    <x v="4"/>
    <x v="3"/>
    <x v="18"/>
    <d v="2018-04-17T10:27:04"/>
    <x v="3"/>
    <x v="1"/>
    <s v="Итоговая контрольная работа по биологии в 9 классах"/>
    <n v="1107"/>
    <n v="447"/>
    <n v="1554"/>
    <n v="0.71"/>
    <n v="74"/>
    <m/>
    <n v="40"/>
    <n v="74"/>
    <n v="3.6"/>
    <n v="3.6"/>
    <n v="0.72"/>
    <n v="0.71"/>
    <n v="0.99"/>
    <n v="0.85"/>
    <n v="0.54"/>
    <n v="0.28999999999999998"/>
    <n v="47"/>
    <n v="34"/>
    <n v="4.2"/>
    <n v="1"/>
    <n v="0.84"/>
    <n v="0.72"/>
    <n v="0.16"/>
    <n v="0.82"/>
    <n v="0.54"/>
    <x v="2"/>
    <x v="2"/>
    <x v="1"/>
    <x v="2"/>
    <x v="1"/>
    <x v="2"/>
    <x v="2"/>
  </r>
  <r>
    <s v="/krs/485"/>
    <n v="485"/>
    <s v="Диктант №5"/>
    <x v="1"/>
    <x v="1"/>
    <x v="10"/>
    <d v="2018-04-17T11:25:07"/>
    <x v="1"/>
    <x v="1"/>
    <m/>
    <n v="114"/>
    <n v="120"/>
    <n v="234"/>
    <n v="0.49"/>
    <n v="18"/>
    <m/>
    <n v="4"/>
    <n v="18"/>
    <n v="2.5"/>
    <n v="2.5"/>
    <n v="0.5"/>
    <n v="0.49"/>
    <n v="0.33"/>
    <n v="0.59"/>
    <n v="0.22"/>
    <n v="0.51"/>
    <n v="16"/>
    <n v="12"/>
    <n v="4.0999999999999996"/>
    <n v="1"/>
    <n v="0.83"/>
    <n v="0.75"/>
    <n v="0.17"/>
    <n v="0"/>
    <n v="0.5"/>
    <x v="2"/>
    <x v="3"/>
    <x v="2"/>
    <x v="2"/>
    <x v="1"/>
    <x v="2"/>
    <x v="2"/>
  </r>
  <r>
    <s v="/krs/486"/>
    <n v="486"/>
    <s v="01"/>
    <x v="4"/>
    <x v="7"/>
    <x v="15"/>
    <d v="2018-05-17T00:00:00"/>
    <x v="10"/>
    <x v="0"/>
    <s v="Кр по итогам учебного года"/>
    <m/>
    <m/>
    <m/>
    <m/>
    <m/>
    <m/>
    <m/>
    <m/>
    <m/>
    <m/>
    <m/>
    <m/>
    <m/>
    <m/>
    <m/>
    <m/>
    <m/>
    <m/>
    <m/>
    <m/>
    <m/>
    <m/>
    <m/>
    <m/>
    <m/>
    <x v="0"/>
    <x v="0"/>
    <x v="0"/>
    <x v="0"/>
    <x v="0"/>
    <x v="0"/>
    <x v="0"/>
  </r>
  <r>
    <s v="/krs/487"/>
    <n v="487"/>
    <s v="ИКР"/>
    <x v="4"/>
    <x v="10"/>
    <x v="58"/>
    <d v="2018-04-17T18:21:42"/>
    <x v="14"/>
    <x v="0"/>
    <s v="Итоговая контрольная работа по географии для 7 классов"/>
    <n v="1843"/>
    <n v="965"/>
    <n v="2808"/>
    <n v="0.66"/>
    <n v="108"/>
    <m/>
    <n v="47"/>
    <n v="106"/>
    <n v="3.4"/>
    <n v="3.4"/>
    <n v="0.69"/>
    <n v="0.66"/>
    <n v="0.85"/>
    <n v="0.83"/>
    <n v="0.44"/>
    <n v="0.34"/>
    <n v="99"/>
    <n v="66"/>
    <n v="4"/>
    <n v="1"/>
    <n v="0.8"/>
    <n v="0.67"/>
    <n v="0.2"/>
    <n v="0.68"/>
    <n v="0.57999999999999996"/>
    <x v="2"/>
    <x v="1"/>
    <x v="1"/>
    <x v="2"/>
    <x v="1"/>
    <x v="2"/>
    <x v="2"/>
  </r>
  <r>
    <s v="/krs/488"/>
    <n v="488"/>
    <s v="ИКР"/>
    <x v="4"/>
    <x v="10"/>
    <x v="6"/>
    <d v="2018-04-17T19:45:19"/>
    <x v="14"/>
    <x v="0"/>
    <s v="Итоговая контрольная работа р географии для 8 классов"/>
    <n v="2168"/>
    <n v="822"/>
    <n v="2990"/>
    <n v="0.73"/>
    <n v="115"/>
    <m/>
    <n v="72"/>
    <n v="115"/>
    <n v="3.6"/>
    <n v="3.8"/>
    <n v="0.76"/>
    <n v="0.73"/>
    <n v="0.98"/>
    <n v="0.91"/>
    <n v="0.63"/>
    <n v="0.27"/>
    <n v="84"/>
    <n v="58"/>
    <n v="4"/>
    <n v="1"/>
    <n v="0.8"/>
    <n v="0.69"/>
    <n v="0.2"/>
    <n v="0.81"/>
    <n v="0.51"/>
    <x v="2"/>
    <x v="2"/>
    <x v="1"/>
    <x v="3"/>
    <x v="2"/>
    <x v="1"/>
    <x v="1"/>
  </r>
  <r>
    <s v="/krs/489"/>
    <n v="489"/>
    <s v="ИКР"/>
    <x v="4"/>
    <x v="3"/>
    <x v="6"/>
    <d v="2018-04-17T18:57:28"/>
    <x v="3"/>
    <x v="1"/>
    <s v="Итоговая контрольная работа в 8 классах"/>
    <n v="1949"/>
    <n v="811"/>
    <n v="2760"/>
    <n v="0.71"/>
    <n v="115"/>
    <m/>
    <n v="76"/>
    <n v="112"/>
    <n v="3.7"/>
    <n v="3.7"/>
    <n v="0.75"/>
    <n v="0.71"/>
    <n v="0.87"/>
    <n v="0.83"/>
    <n v="0.68"/>
    <n v="0.28999999999999998"/>
    <n v="84"/>
    <n v="74"/>
    <n v="4.3"/>
    <n v="1"/>
    <n v="0.86"/>
    <n v="0.88"/>
    <n v="0.14000000000000001"/>
    <n v="0.71"/>
    <n v="0.68"/>
    <x v="2"/>
    <x v="2"/>
    <x v="1"/>
    <x v="2"/>
    <x v="1"/>
    <x v="2"/>
    <x v="2"/>
  </r>
  <r>
    <s v="/krs/490"/>
    <n v="490"/>
    <s v="ИКР"/>
    <x v="4"/>
    <x v="3"/>
    <x v="11"/>
    <d v="2018-04-17T21:29:48"/>
    <x v="3"/>
    <x v="1"/>
    <s v="Итоговая контрольная работа по биологии в профильном хим/био классе"/>
    <n v="300"/>
    <n v="116"/>
    <n v="416"/>
    <n v="0.72"/>
    <n v="16"/>
    <m/>
    <n v="10"/>
    <n v="16"/>
    <n v="3.6"/>
    <n v="3.6"/>
    <n v="0.73"/>
    <n v="0.72"/>
    <n v="0.94"/>
    <n v="0.84"/>
    <n v="0.63"/>
    <n v="0.28000000000000003"/>
    <n v="8"/>
    <n v="8"/>
    <n v="4.3"/>
    <n v="1"/>
    <n v="0.86"/>
    <n v="1"/>
    <n v="0.14000000000000001"/>
    <n v="0.8"/>
    <n v="0.71"/>
    <x v="2"/>
    <x v="2"/>
    <x v="1"/>
    <x v="2"/>
    <x v="1"/>
    <x v="2"/>
    <x v="2"/>
  </r>
  <r>
    <s v="/krs/491"/>
    <n v="491"/>
    <s v="05"/>
    <x v="4"/>
    <x v="7"/>
    <x v="7"/>
    <d v="2018-05-19T00:00:00"/>
    <x v="10"/>
    <x v="0"/>
    <s v="Подведение итогов учебного года"/>
    <n v="340"/>
    <n v="235"/>
    <n v="575"/>
    <n v="0.59"/>
    <n v="25"/>
    <m/>
    <n v="7"/>
    <n v="25"/>
    <n v="3.1"/>
    <n v="3.3"/>
    <n v="0.66"/>
    <n v="0.59"/>
    <n v="0.88"/>
    <n v="0"/>
    <n v="0.28000000000000003"/>
    <n v="0.41"/>
    <n v="0"/>
    <n v="0"/>
    <n v="0"/>
    <n v="0"/>
    <n v="0"/>
    <n v="0"/>
    <n v="1"/>
    <n v="0.69"/>
    <n v="0.44"/>
    <x v="2"/>
    <x v="3"/>
    <x v="1"/>
    <x v="1"/>
    <x v="1"/>
    <x v="3"/>
    <x v="2"/>
  </r>
  <r>
    <s v="/krs/492"/>
    <n v="492"/>
    <s v="ИКР"/>
    <x v="4"/>
    <x v="10"/>
    <x v="31"/>
    <d v="2018-04-17T20:42:28"/>
    <x v="14"/>
    <x v="0"/>
    <s v="Итоговая контрольная работа по географии для 10 класса"/>
    <n v="581"/>
    <n v="175"/>
    <n v="756"/>
    <n v="0.77"/>
    <n v="27"/>
    <m/>
    <n v="23"/>
    <n v="27"/>
    <n v="3.8"/>
    <n v="3.9"/>
    <n v="0.79"/>
    <n v="0.77"/>
    <n v="1"/>
    <n v="0.95"/>
    <n v="0.85"/>
    <n v="0.23"/>
    <n v="15"/>
    <n v="12"/>
    <n v="4"/>
    <n v="1"/>
    <n v="0.81"/>
    <n v="0.8"/>
    <n v="0.19"/>
    <n v="0.79"/>
    <n v="0.64"/>
    <x v="2"/>
    <x v="2"/>
    <x v="1"/>
    <x v="1"/>
    <x v="2"/>
    <x v="3"/>
    <x v="1"/>
  </r>
  <r>
    <s v="/krs/493"/>
    <n v="493"/>
    <s v="05"/>
    <x v="4"/>
    <x v="7"/>
    <x v="8"/>
    <d v="2018-05-17T00:00:00"/>
    <x v="10"/>
    <x v="0"/>
    <m/>
    <n v="260"/>
    <n v="200"/>
    <n v="460"/>
    <n v="0.56999999999999995"/>
    <n v="20"/>
    <m/>
    <n v="3"/>
    <n v="20"/>
    <n v="2.9"/>
    <n v="3"/>
    <n v="0.59"/>
    <n v="0.56999999999999995"/>
    <n v="0.8"/>
    <n v="0"/>
    <n v="0.15"/>
    <n v="0.43"/>
    <n v="0"/>
    <n v="0"/>
    <n v="0"/>
    <n v="0"/>
    <n v="0"/>
    <n v="0"/>
    <n v="1"/>
    <n v="0.72"/>
    <n v="0.33"/>
    <x v="2"/>
    <x v="3"/>
    <x v="1"/>
    <x v="1"/>
    <x v="1"/>
    <x v="3"/>
    <x v="2"/>
  </r>
  <r>
    <s v="/krs/494"/>
    <n v="494"/>
    <s v="494 итог 8В"/>
    <x v="4"/>
    <x v="7"/>
    <x v="9"/>
    <d v="2018-05-18T00:00:00"/>
    <x v="10"/>
    <x v="0"/>
    <m/>
    <n v="292"/>
    <n v="237"/>
    <n v="529"/>
    <n v="0.55000000000000004"/>
    <n v="23"/>
    <m/>
    <n v="6"/>
    <n v="23"/>
    <n v="2.9"/>
    <n v="3"/>
    <n v="0.59"/>
    <n v="0.55000000000000004"/>
    <n v="0.7"/>
    <n v="0"/>
    <n v="0.26"/>
    <n v="0.45"/>
    <n v="0"/>
    <n v="0"/>
    <n v="0"/>
    <n v="0"/>
    <n v="0"/>
    <n v="0"/>
    <n v="1"/>
    <n v="0.67"/>
    <n v="0.37"/>
    <x v="2"/>
    <x v="3"/>
    <x v="1"/>
    <x v="1"/>
    <x v="1"/>
    <x v="3"/>
    <x v="2"/>
  </r>
  <r>
    <s v="/krs/495"/>
    <n v="495"/>
    <s v="495 итог 8Г"/>
    <x v="4"/>
    <x v="7"/>
    <x v="4"/>
    <d v="2018-05-14T00:00:00"/>
    <x v="10"/>
    <x v="0"/>
    <m/>
    <n v="286"/>
    <n v="266"/>
    <n v="552"/>
    <n v="0.52"/>
    <n v="24"/>
    <m/>
    <n v="4"/>
    <n v="24"/>
    <n v="2.6"/>
    <n v="2.9"/>
    <n v="0.57999999999999996"/>
    <n v="0.52"/>
    <n v="0.67"/>
    <n v="0.63"/>
    <n v="0.17"/>
    <n v="0.48"/>
    <n v="19"/>
    <n v="14"/>
    <n v="4.0999999999999996"/>
    <n v="1"/>
    <n v="0.82"/>
    <n v="0.74"/>
    <n v="0.18"/>
    <n v="0.63"/>
    <n v="0.3"/>
    <x v="2"/>
    <x v="3"/>
    <x v="3"/>
    <x v="2"/>
    <x v="1"/>
    <x v="2"/>
    <x v="2"/>
  </r>
  <r>
    <s v="/krs/496"/>
    <n v="496"/>
    <s v="496 итог 8Д"/>
    <x v="4"/>
    <x v="7"/>
    <x v="10"/>
    <d v="2018-05-14T00:00:00"/>
    <x v="10"/>
    <x v="0"/>
    <m/>
    <n v="237"/>
    <n v="269"/>
    <n v="506"/>
    <n v="0.47"/>
    <n v="22"/>
    <m/>
    <n v="2"/>
    <n v="22"/>
    <n v="2.5"/>
    <n v="2.8"/>
    <n v="0.55000000000000004"/>
    <n v="0.47"/>
    <n v="0.68"/>
    <n v="0"/>
    <n v="0.09"/>
    <n v="0.53"/>
    <n v="0"/>
    <n v="0"/>
    <n v="0"/>
    <n v="0"/>
    <n v="0"/>
    <n v="0"/>
    <n v="1"/>
    <n v="0.56999999999999995"/>
    <n v="0.32"/>
    <x v="2"/>
    <x v="3"/>
    <x v="3"/>
    <x v="1"/>
    <x v="2"/>
    <x v="3"/>
    <x v="2"/>
  </r>
  <r>
    <s v="/krs/497"/>
    <n v="497"/>
    <s v="ИКР"/>
    <x v="4"/>
    <x v="3"/>
    <x v="17"/>
    <d v="2018-04-18T10:32:33"/>
    <x v="14"/>
    <x v="0"/>
    <s v="Итоговая контрольная работа по биологии за курс 6 класса"/>
    <n v="451"/>
    <n v="216"/>
    <n v="667"/>
    <n v="0.68"/>
    <n v="29"/>
    <m/>
    <n v="19"/>
    <n v="27"/>
    <n v="3.8"/>
    <n v="3.6"/>
    <n v="0.78"/>
    <n v="0.68"/>
    <n v="0.93"/>
    <n v="0.77"/>
    <n v="0.7"/>
    <n v="0.32"/>
    <n v="28"/>
    <n v="27"/>
    <n v="4.4000000000000004"/>
    <n v="1"/>
    <n v="0.88"/>
    <n v="0.96"/>
    <n v="0.12"/>
    <n v="0.71"/>
    <n v="0.57999999999999996"/>
    <x v="1"/>
    <x v="1"/>
    <x v="1"/>
    <x v="2"/>
    <x v="1"/>
    <x v="2"/>
    <x v="2"/>
  </r>
  <r>
    <s v="/krs/498"/>
    <n v="498"/>
    <s v="498 итог 10А соц-гум, 10А соц-экон"/>
    <x v="4"/>
    <x v="7"/>
    <x v="31"/>
    <d v="2018-05-23T00:00:00"/>
    <x v="10"/>
    <x v="0"/>
    <m/>
    <n v="251"/>
    <n v="343"/>
    <n v="594"/>
    <n v="0.42"/>
    <n v="27"/>
    <m/>
    <n v="3"/>
    <n v="22"/>
    <n v="2.9"/>
    <n v="2.6"/>
    <n v="0.63"/>
    <n v="0.42"/>
    <n v="0.55000000000000004"/>
    <n v="0.53"/>
    <n v="0.14000000000000001"/>
    <n v="0.57999999999999996"/>
    <n v="15"/>
    <n v="9"/>
    <n v="4"/>
    <n v="1"/>
    <n v="0.79"/>
    <n v="0.6"/>
    <n v="0.21"/>
    <n v="0.52"/>
    <n v="0"/>
    <x v="1"/>
    <x v="3"/>
    <x v="3"/>
    <x v="2"/>
    <x v="1"/>
    <x v="2"/>
    <x v="2"/>
  </r>
  <r>
    <s v="/krs/500"/>
    <n v="500"/>
    <s v="ИКР"/>
    <x v="4"/>
    <x v="3"/>
    <x v="35"/>
    <d v="2018-04-18T11:17:13"/>
    <x v="14"/>
    <x v="0"/>
    <s v="ИТоговая контрольная работа по биологии за курс 10 класса"/>
    <n v="608"/>
    <n v="171"/>
    <n v="779"/>
    <n v="0.78"/>
    <n v="40"/>
    <m/>
    <n v="33"/>
    <n v="40"/>
    <n v="4"/>
    <n v="4.0999999999999996"/>
    <n v="0.82"/>
    <n v="0.78"/>
    <n v="1"/>
    <n v="0.95"/>
    <n v="0.83"/>
    <n v="0.22"/>
    <n v="22"/>
    <n v="20"/>
    <n v="4.0999999999999996"/>
    <n v="1"/>
    <n v="0.82"/>
    <n v="0.91"/>
    <n v="0.18"/>
    <n v="0.83"/>
    <n v="0.66"/>
    <x v="2"/>
    <x v="2"/>
    <x v="1"/>
    <x v="1"/>
    <x v="2"/>
    <x v="3"/>
    <x v="1"/>
  </r>
  <r>
    <s v="/krs/501"/>
    <n v="501"/>
    <s v="501 итог 10Б физ-мат"/>
    <x v="4"/>
    <x v="7"/>
    <x v="26"/>
    <d v="2018-05-23T00:00:00"/>
    <x v="10"/>
    <x v="0"/>
    <m/>
    <n v="129"/>
    <n v="157"/>
    <n v="286"/>
    <n v="0.45"/>
    <n v="13"/>
    <m/>
    <n v="2"/>
    <n v="12"/>
    <n v="2.8"/>
    <n v="2.7"/>
    <n v="0.57999999999999996"/>
    <n v="0.45"/>
    <n v="0.57999999999999996"/>
    <n v="0.55000000000000004"/>
    <n v="0.17"/>
    <n v="0.55000000000000004"/>
    <n v="7"/>
    <n v="5"/>
    <n v="4.0999999999999996"/>
    <n v="1"/>
    <n v="0.82"/>
    <n v="0.71"/>
    <n v="0.18"/>
    <n v="0.52"/>
    <n v="0"/>
    <x v="1"/>
    <x v="3"/>
    <x v="3"/>
    <x v="2"/>
    <x v="1"/>
    <x v="2"/>
    <x v="2"/>
  </r>
  <r>
    <s v="/krs/503"/>
    <n v="503"/>
    <s v="503 итог 10Б хим-био"/>
    <x v="4"/>
    <x v="7"/>
    <x v="11"/>
    <d v="2018-05-23T00:00:00"/>
    <x v="10"/>
    <x v="0"/>
    <m/>
    <n v="253"/>
    <n v="211"/>
    <n v="464"/>
    <n v="0.55000000000000004"/>
    <n v="16"/>
    <m/>
    <n v="3"/>
    <n v="16"/>
    <n v="2.8"/>
    <n v="2.9"/>
    <n v="0.57999999999999996"/>
    <n v="0.55000000000000004"/>
    <n v="0.69"/>
    <n v="0.72"/>
    <n v="0.19"/>
    <n v="0.45"/>
    <n v="8"/>
    <n v="4"/>
    <n v="3.8"/>
    <n v="1"/>
    <n v="0.76"/>
    <n v="0.5"/>
    <n v="0.24"/>
    <n v="0.63"/>
    <n v="0.47"/>
    <x v="2"/>
    <x v="3"/>
    <x v="3"/>
    <x v="2"/>
    <x v="1"/>
    <x v="2"/>
    <x v="2"/>
  </r>
  <r>
    <s v="/krs/504"/>
    <n v="504"/>
    <s v="504 итог 9А, 9Б"/>
    <x v="4"/>
    <x v="7"/>
    <x v="62"/>
    <d v="2018-05-14T00:00:00"/>
    <x v="10"/>
    <x v="0"/>
    <m/>
    <n v="607"/>
    <n v="716"/>
    <n v="1323"/>
    <n v="0.46"/>
    <n v="49"/>
    <m/>
    <n v="8"/>
    <n v="49"/>
    <n v="2.6"/>
    <n v="2.8"/>
    <n v="0.56999999999999995"/>
    <n v="0.46"/>
    <n v="0.59"/>
    <n v="0.59"/>
    <n v="0.16"/>
    <n v="0.54"/>
    <n v="25"/>
    <n v="14"/>
    <n v="3.9"/>
    <n v="1"/>
    <n v="0.78"/>
    <n v="0.56000000000000005"/>
    <n v="0.22"/>
    <n v="0.53"/>
    <n v="0.37"/>
    <x v="1"/>
    <x v="3"/>
    <x v="3"/>
    <x v="2"/>
    <x v="1"/>
    <x v="2"/>
    <x v="2"/>
  </r>
  <r>
    <s v="/krs/505"/>
    <n v="505"/>
    <s v="505 итог 9В"/>
    <x v="4"/>
    <x v="7"/>
    <x v="3"/>
    <d v="2018-05-19T00:00:00"/>
    <x v="10"/>
    <x v="0"/>
    <m/>
    <n v="360"/>
    <n v="315"/>
    <n v="675"/>
    <n v="0.53"/>
    <n v="25"/>
    <m/>
    <n v="3"/>
    <n v="24"/>
    <n v="3"/>
    <n v="3"/>
    <n v="0.62"/>
    <n v="0.53"/>
    <n v="0.83"/>
    <n v="0.6"/>
    <n v="0.13"/>
    <n v="0.47"/>
    <n v="22"/>
    <n v="19"/>
    <n v="4.5"/>
    <n v="1"/>
    <n v="0.89"/>
    <n v="0.86"/>
    <n v="0.11"/>
    <n v="0.65"/>
    <n v="0.41"/>
    <x v="2"/>
    <x v="3"/>
    <x v="1"/>
    <x v="2"/>
    <x v="1"/>
    <x v="2"/>
    <x v="2"/>
  </r>
  <r>
    <s v="/krs/506"/>
    <n v="506"/>
    <s v="506 итог 11А"/>
    <x v="4"/>
    <x v="7"/>
    <x v="13"/>
    <d v="2018-05-18T00:00:00"/>
    <x v="10"/>
    <x v="0"/>
    <m/>
    <n v="355"/>
    <n v="215"/>
    <n v="570"/>
    <n v="0.62"/>
    <n v="30"/>
    <m/>
    <n v="10"/>
    <n v="30"/>
    <n v="3.2"/>
    <n v="3.2"/>
    <n v="0.65"/>
    <n v="0.62"/>
    <n v="0.87"/>
    <n v="0.83"/>
    <n v="0.33"/>
    <n v="0.38"/>
    <n v="30"/>
    <n v="16"/>
    <n v="3.7"/>
    <n v="1"/>
    <n v="0.75"/>
    <n v="0.53"/>
    <n v="0.25"/>
    <n v="0.71"/>
    <n v="0.53"/>
    <x v="2"/>
    <x v="1"/>
    <x v="1"/>
    <x v="2"/>
    <x v="1"/>
    <x v="2"/>
    <x v="2"/>
  </r>
  <r>
    <s v="/krs/508"/>
    <n v="508"/>
    <s v="508 итог 11Б физ-мат"/>
    <x v="4"/>
    <x v="7"/>
    <x v="1"/>
    <d v="2018-05-19T00:00:00"/>
    <x v="10"/>
    <x v="0"/>
    <m/>
    <n v="178"/>
    <n v="126"/>
    <n v="304"/>
    <n v="0.59"/>
    <n v="16"/>
    <m/>
    <n v="5"/>
    <n v="15"/>
    <n v="3.2"/>
    <n v="3.2"/>
    <n v="0.68"/>
    <n v="0.59"/>
    <n v="0.93"/>
    <n v="0.78"/>
    <n v="0.33"/>
    <n v="0.41"/>
    <n v="15"/>
    <n v="12"/>
    <n v="3.8"/>
    <n v="1"/>
    <n v="0.76"/>
    <n v="0.8"/>
    <n v="0.24"/>
    <n v="0.69"/>
    <n v="0.42"/>
    <x v="2"/>
    <x v="3"/>
    <x v="1"/>
    <x v="2"/>
    <x v="1"/>
    <x v="2"/>
    <x v="2"/>
  </r>
  <r>
    <s v="/krs/510"/>
    <n v="510"/>
    <s v="510 итог 11А, 11В хим-био"/>
    <x v="4"/>
    <x v="2"/>
    <x v="48"/>
    <d v="2018-04-18T13:41:27"/>
    <x v="32"/>
    <x v="0"/>
    <s v="Итоговая контрольная работа"/>
    <n v="777"/>
    <n v="103"/>
    <n v="880"/>
    <n v="0.88"/>
    <n v="44"/>
    <m/>
    <n v="29"/>
    <n v="44"/>
    <n v="4.5"/>
    <n v="3.4"/>
    <n v="0.67"/>
    <n v="0.88"/>
    <n v="0.7"/>
    <n v="1.0900000000000001"/>
    <n v="0.66"/>
    <n v="0.12"/>
    <n v="43"/>
    <n v="30"/>
    <n v="4.0999999999999996"/>
    <n v="1"/>
    <n v="0.81"/>
    <n v="0.7"/>
    <n v="0.19"/>
    <n v="0.88"/>
    <n v="0"/>
    <x v="1"/>
    <x v="2"/>
    <x v="1"/>
    <x v="1"/>
    <x v="2"/>
    <x v="3"/>
    <x v="1"/>
  </r>
  <r>
    <s v="/krs/511"/>
    <n v="511"/>
    <s v="511 итог 9А"/>
    <x v="4"/>
    <x v="4"/>
    <x v="14"/>
    <d v="2018-04-18T14:22:32"/>
    <x v="33"/>
    <x v="0"/>
    <m/>
    <m/>
    <m/>
    <m/>
    <m/>
    <m/>
    <m/>
    <m/>
    <m/>
    <m/>
    <m/>
    <m/>
    <m/>
    <m/>
    <m/>
    <m/>
    <m/>
    <m/>
    <m/>
    <m/>
    <m/>
    <m/>
    <m/>
    <m/>
    <m/>
    <m/>
    <x v="0"/>
    <x v="0"/>
    <x v="0"/>
    <x v="0"/>
    <x v="0"/>
    <x v="0"/>
    <x v="0"/>
  </r>
  <r>
    <s v="/krs/513"/>
    <n v="513"/>
    <s v="Изложение"/>
    <x v="1"/>
    <x v="1"/>
    <x v="10"/>
    <d v="2018-04-18T00:00:00"/>
    <x v="1"/>
    <x v="1"/>
    <s v="Сжатое изложение текста _x000a_скопирована из ид: 239 № 03. "/>
    <n v="248"/>
    <n v="92"/>
    <n v="340"/>
    <n v="0.73"/>
    <n v="20"/>
    <m/>
    <n v="17"/>
    <n v="20"/>
    <n v="3.5"/>
    <n v="4"/>
    <n v="0.79"/>
    <n v="0.73"/>
    <n v="1"/>
    <n v="0.88"/>
    <n v="0.85"/>
    <n v="0.27"/>
    <n v="18"/>
    <n v="13"/>
    <n v="4.0999999999999996"/>
    <n v="1"/>
    <n v="0.83"/>
    <n v="0.72"/>
    <n v="0.17"/>
    <n v="0.89"/>
    <n v="0.55000000000000004"/>
    <x v="2"/>
    <x v="2"/>
    <x v="1"/>
    <x v="3"/>
    <x v="1"/>
    <x v="2"/>
    <x v="2"/>
  </r>
  <r>
    <s v="/krs/514"/>
    <n v="514"/>
    <s v="ИКР"/>
    <x v="4"/>
    <x v="3"/>
    <x v="37"/>
    <d v="2018-04-18T12:28:09"/>
    <x v="14"/>
    <x v="0"/>
    <s v="Итоговая контрольная работа за курс 11 класса по биологии"/>
    <n v="859"/>
    <n v="383"/>
    <n v="1242"/>
    <n v="0.69"/>
    <n v="46"/>
    <m/>
    <n v="31"/>
    <n v="46"/>
    <n v="3.5"/>
    <n v="3.8"/>
    <n v="0.75"/>
    <n v="0.69"/>
    <n v="1"/>
    <n v="0.9"/>
    <n v="0.67"/>
    <n v="0.31"/>
    <n v="44"/>
    <n v="30"/>
    <n v="3.9"/>
    <n v="1"/>
    <n v="0.77"/>
    <n v="0.68"/>
    <n v="0.23"/>
    <n v="0.67"/>
    <n v="0.51"/>
    <x v="2"/>
    <x v="1"/>
    <x v="1"/>
    <x v="3"/>
    <x v="2"/>
    <x v="1"/>
    <x v="2"/>
  </r>
  <r>
    <s v="/krs/515"/>
    <n v="515"/>
    <s v="Контрольная работа №5"/>
    <x v="1"/>
    <x v="1"/>
    <x v="7"/>
    <d v="2018-04-18T21:06:05"/>
    <x v="9"/>
    <x v="0"/>
    <s v="Контрольная работа №5 по теме &quot;Обособленные члены предложения&quot;:определение уровня усвоения учащимися контрольных элементов содержания и сформированности учебных действий, предусмотренных программой по русскому языку для 8-х классов по теме &quot;Обособленные члены предложения&quot;"/>
    <n v="228"/>
    <n v="71"/>
    <n v="299"/>
    <n v="0.76"/>
    <n v="23"/>
    <m/>
    <n v="18"/>
    <n v="23"/>
    <n v="3.7"/>
    <n v="3.9"/>
    <n v="0.78"/>
    <n v="0.76"/>
    <n v="0.96"/>
    <n v="0.76"/>
    <n v="0.78"/>
    <n v="0.24"/>
    <n v="1"/>
    <n v="1"/>
    <n v="5"/>
    <n v="1"/>
    <n v="1"/>
    <n v="1"/>
    <n v="0"/>
    <n v="0.83"/>
    <n v="0.54"/>
    <x v="2"/>
    <x v="2"/>
    <x v="1"/>
    <x v="2"/>
    <x v="1"/>
    <x v="2"/>
    <x v="2"/>
  </r>
  <r>
    <s v="/krs/516"/>
    <n v="516"/>
    <s v="05"/>
    <x v="4"/>
    <x v="5"/>
    <x v="59"/>
    <d v="2018-05-22T00:00:00"/>
    <x v="22"/>
    <x v="1"/>
    <m/>
    <n v="226"/>
    <n v="68"/>
    <n v="294"/>
    <n v="0.77"/>
    <n v="14"/>
    <m/>
    <n v="10"/>
    <n v="14"/>
    <n v="4"/>
    <n v="4"/>
    <n v="0.8"/>
    <n v="0.77"/>
    <n v="1"/>
    <n v="0.93"/>
    <n v="0.71"/>
    <n v="0.23"/>
    <n v="7"/>
    <n v="4"/>
    <n v="4.0999999999999996"/>
    <n v="1"/>
    <n v="0.83"/>
    <n v="0.56999999999999995"/>
    <n v="0.17"/>
    <n v="0.73"/>
    <n v="0.83"/>
    <x v="2"/>
    <x v="2"/>
    <x v="1"/>
    <x v="3"/>
    <x v="1"/>
    <x v="1"/>
    <x v="1"/>
  </r>
  <r>
    <s v="/krs/517"/>
    <n v="517"/>
    <s v="517 итог 9А, 9Б, 9В"/>
    <x v="4"/>
    <x v="5"/>
    <x v="18"/>
    <d v="2018-05-11T00:00:00"/>
    <x v="22"/>
    <x v="0"/>
    <m/>
    <n v="577"/>
    <n v="1199"/>
    <n v="1776"/>
    <n v="0.32"/>
    <n v="74"/>
    <m/>
    <n v="20"/>
    <n v="34"/>
    <n v="3.7"/>
    <n v="2.2000000000000002"/>
    <n v="0.96"/>
    <n v="0.32"/>
    <n v="-0.21"/>
    <n v="0.4"/>
    <n v="0.59"/>
    <n v="0.68"/>
    <n v="47"/>
    <n v="30"/>
    <n v="4"/>
    <n v="1"/>
    <n v="0.8"/>
    <n v="0.64"/>
    <n v="0.2"/>
    <n v="0.27"/>
    <n v="0.4"/>
    <x v="1"/>
    <x v="3"/>
    <x v="2"/>
    <x v="2"/>
    <x v="2"/>
    <x v="2"/>
    <x v="2"/>
  </r>
  <r>
    <s v="/krs/518"/>
    <n v="518"/>
    <s v="518 итог 7А, 7Б, 7В физ-мат, 7Г"/>
    <x v="4"/>
    <x v="4"/>
    <x v="58"/>
    <d v="2018-04-19T08:15:57"/>
    <x v="4"/>
    <x v="1"/>
    <m/>
    <n v="2326"/>
    <n v="806"/>
    <n v="3132"/>
    <n v="0.74"/>
    <n v="108"/>
    <m/>
    <n v="77"/>
    <n v="107"/>
    <n v="3.8"/>
    <n v="3.8"/>
    <n v="0.78"/>
    <n v="0.74"/>
    <n v="0.93"/>
    <n v="0"/>
    <n v="0.72"/>
    <n v="0.26"/>
    <n v="0"/>
    <n v="0"/>
    <n v="0"/>
    <n v="0"/>
    <n v="0"/>
    <n v="0"/>
    <n v="1"/>
    <n v="0.74"/>
    <n v="0.79"/>
    <x v="2"/>
    <x v="2"/>
    <x v="1"/>
    <x v="1"/>
    <x v="1"/>
    <x v="3"/>
    <x v="2"/>
  </r>
  <r>
    <s v="/krs/520"/>
    <n v="520"/>
    <s v="520 итог 8А, 8Б, 8Г, 8Д"/>
    <x v="4"/>
    <x v="4"/>
    <x v="63"/>
    <d v="2018-04-19T08:39:43"/>
    <x v="4"/>
    <x v="1"/>
    <m/>
    <n v="839"/>
    <n v="435"/>
    <n v="1274"/>
    <n v="0.66"/>
    <n v="91"/>
    <m/>
    <n v="44"/>
    <n v="91"/>
    <n v="3.4"/>
    <n v="3.4"/>
    <n v="0.67"/>
    <n v="0.66"/>
    <n v="0.8"/>
    <n v="0.85"/>
    <n v="0.48"/>
    <n v="0.34"/>
    <n v="61"/>
    <n v="35"/>
    <n v="3.9"/>
    <n v="1"/>
    <n v="0.78"/>
    <n v="0.56999999999999995"/>
    <n v="0.22"/>
    <n v="0.68"/>
    <n v="0.45"/>
    <x v="2"/>
    <x v="1"/>
    <x v="1"/>
    <x v="2"/>
    <x v="2"/>
    <x v="2"/>
    <x v="2"/>
  </r>
  <r>
    <s v="/krs/521"/>
    <n v="521"/>
    <s v="521 итог 8В"/>
    <x v="4"/>
    <x v="4"/>
    <x v="9"/>
    <d v="2018-04-19T08:45:05"/>
    <x v="4"/>
    <x v="1"/>
    <m/>
    <n v="263"/>
    <n v="151"/>
    <n v="414"/>
    <n v="0.64"/>
    <n v="23"/>
    <m/>
    <n v="10"/>
    <n v="23"/>
    <n v="3.3"/>
    <n v="3.4"/>
    <n v="0.68"/>
    <n v="0.64"/>
    <n v="0.87"/>
    <n v="0.76"/>
    <n v="0.43"/>
    <n v="0.36"/>
    <n v="22"/>
    <n v="18"/>
    <n v="4.2"/>
    <n v="1"/>
    <n v="0.84"/>
    <n v="0.82"/>
    <n v="0.16"/>
    <n v="0.81"/>
    <n v="0.46"/>
    <x v="2"/>
    <x v="1"/>
    <x v="1"/>
    <x v="2"/>
    <x v="1"/>
    <x v="2"/>
    <x v="2"/>
  </r>
  <r>
    <s v="/krs/522"/>
    <n v="522"/>
    <s v="522 итог 11А"/>
    <x v="4"/>
    <x v="4"/>
    <x v="13"/>
    <d v="2018-04-19T08:50:35"/>
    <x v="4"/>
    <x v="1"/>
    <m/>
    <n v="312"/>
    <n v="168"/>
    <n v="480"/>
    <n v="0.65"/>
    <n v="30"/>
    <m/>
    <n v="18"/>
    <n v="30"/>
    <n v="3.3"/>
    <n v="3.6"/>
    <n v="0.72"/>
    <n v="0.65"/>
    <n v="1"/>
    <n v="0.87"/>
    <n v="0.6"/>
    <n v="0.35"/>
    <n v="30"/>
    <n v="19"/>
    <n v="3.8"/>
    <n v="1"/>
    <n v="0.75"/>
    <n v="0.63"/>
    <n v="0.25"/>
    <n v="0.68"/>
    <n v="0"/>
    <x v="2"/>
    <x v="1"/>
    <x v="1"/>
    <x v="3"/>
    <x v="2"/>
    <x v="2"/>
    <x v="2"/>
  </r>
  <r>
    <s v="/krs/523"/>
    <n v="523"/>
    <s v="523 итог 11Б физ-мат"/>
    <x v="4"/>
    <x v="4"/>
    <x v="1"/>
    <d v="2018-04-19T08:56:48"/>
    <x v="4"/>
    <x v="1"/>
    <m/>
    <n v="193"/>
    <n v="127"/>
    <n v="320"/>
    <n v="0.6"/>
    <n v="16"/>
    <m/>
    <n v="5"/>
    <n v="16"/>
    <n v="3.3"/>
    <n v="3.3"/>
    <n v="0.66"/>
    <n v="0.6"/>
    <n v="0.94"/>
    <n v="0.81"/>
    <n v="0.31"/>
    <n v="0.4"/>
    <n v="16"/>
    <n v="11"/>
    <n v="3.7"/>
    <n v="1"/>
    <n v="0.74"/>
    <n v="0.69"/>
    <n v="0.26"/>
    <n v="0.62"/>
    <n v="0.72"/>
    <x v="2"/>
    <x v="1"/>
    <x v="1"/>
    <x v="2"/>
    <x v="1"/>
    <x v="2"/>
    <x v="2"/>
  </r>
  <r>
    <s v="/krs/524"/>
    <n v="524"/>
    <s v="524 итог 9А, 9Б, 9В"/>
    <x v="4"/>
    <x v="4"/>
    <x v="18"/>
    <d v="2018-04-19T09:17:55"/>
    <x v="33"/>
    <x v="1"/>
    <m/>
    <n v="1061"/>
    <n v="345"/>
    <n v="1406"/>
    <n v="0.75"/>
    <n v="74"/>
    <m/>
    <n v="52"/>
    <n v="74"/>
    <n v="3.9"/>
    <n v="3.9"/>
    <n v="0.78"/>
    <n v="0.75"/>
    <n v="1"/>
    <n v="0.97"/>
    <n v="0.7"/>
    <n v="0.25"/>
    <n v="47"/>
    <n v="22"/>
    <n v="3.8"/>
    <n v="0.98"/>
    <n v="0.77"/>
    <n v="0.47"/>
    <n v="0.23"/>
    <n v="0.78"/>
    <n v="0"/>
    <x v="2"/>
    <x v="2"/>
    <x v="1"/>
    <x v="1"/>
    <x v="1"/>
    <x v="3"/>
    <x v="1"/>
  </r>
  <r>
    <s v="/krs/525"/>
    <n v="525"/>
    <s v="525 итог 5Б"/>
    <x v="4"/>
    <x v="5"/>
    <x v="16"/>
    <d v="2018-05-21T00:00:00"/>
    <x v="36"/>
    <x v="0"/>
    <m/>
    <m/>
    <m/>
    <m/>
    <m/>
    <m/>
    <m/>
    <m/>
    <m/>
    <m/>
    <m/>
    <m/>
    <m/>
    <m/>
    <m/>
    <m/>
    <m/>
    <m/>
    <m/>
    <m/>
    <m/>
    <m/>
    <m/>
    <m/>
    <m/>
    <m/>
    <x v="0"/>
    <x v="0"/>
    <x v="0"/>
    <x v="0"/>
    <x v="0"/>
    <x v="0"/>
    <x v="0"/>
  </r>
  <r>
    <s v="/krs/526"/>
    <n v="526"/>
    <s v="526 итог 10А соц-гум, 10А соц-экон, 10Б физ-мат"/>
    <x v="4"/>
    <x v="4"/>
    <x v="64"/>
    <d v="2018-04-19T09:30:04"/>
    <x v="33"/>
    <x v="1"/>
    <m/>
    <n v="523"/>
    <n v="165"/>
    <n v="688"/>
    <n v="0.76"/>
    <n v="43"/>
    <m/>
    <n v="26"/>
    <n v="43"/>
    <n v="3.8"/>
    <n v="3.8"/>
    <n v="0.76"/>
    <n v="0.76"/>
    <n v="1"/>
    <n v="0.97"/>
    <n v="0.6"/>
    <n v="0.24"/>
    <n v="23"/>
    <n v="13"/>
    <n v="3.9"/>
    <n v="1"/>
    <n v="0.78"/>
    <n v="0.56999999999999995"/>
    <n v="0.22"/>
    <n v="0.8"/>
    <n v="0"/>
    <x v="2"/>
    <x v="2"/>
    <x v="1"/>
    <x v="1"/>
    <x v="2"/>
    <x v="3"/>
    <x v="1"/>
  </r>
  <r>
    <s v="/krs/527"/>
    <n v="527"/>
    <s v="527 итог 10Б физ-мат"/>
    <x v="4"/>
    <x v="4"/>
    <x v="26"/>
    <d v="2018-04-19T09:39:39"/>
    <x v="33"/>
    <x v="1"/>
    <m/>
    <n v="294"/>
    <n v="44"/>
    <n v="338"/>
    <n v="0.87"/>
    <n v="13"/>
    <m/>
    <n v="12"/>
    <n v="13"/>
    <n v="4.5"/>
    <n v="4.5"/>
    <n v="0.89"/>
    <n v="0.87"/>
    <n v="1"/>
    <n v="1.06"/>
    <n v="0.92"/>
    <n v="0.13"/>
    <n v="7"/>
    <n v="4"/>
    <n v="4.0999999999999996"/>
    <n v="1"/>
    <n v="0.82"/>
    <n v="0.56999999999999995"/>
    <n v="0.18"/>
    <n v="0.83"/>
    <n v="0.9"/>
    <x v="2"/>
    <x v="2"/>
    <x v="1"/>
    <x v="1"/>
    <x v="1"/>
    <x v="3"/>
    <x v="1"/>
  </r>
  <r>
    <s v="/krs/528"/>
    <n v="528"/>
    <s v="528 итог 11В хим-био"/>
    <x v="4"/>
    <x v="4"/>
    <x v="15"/>
    <d v="2018-04-19T10:03:56"/>
    <x v="33"/>
    <x v="1"/>
    <m/>
    <n v="278"/>
    <n v="142"/>
    <n v="420"/>
    <n v="0.66"/>
    <n v="20"/>
    <m/>
    <n v="11"/>
    <n v="20"/>
    <n v="3.3"/>
    <n v="3.8"/>
    <n v="0.75"/>
    <n v="0.66"/>
    <n v="1"/>
    <n v="0.86"/>
    <n v="0.55000000000000004"/>
    <n v="0.34"/>
    <n v="19"/>
    <n v="11"/>
    <n v="3.8"/>
    <n v="1"/>
    <n v="0.77"/>
    <n v="0.57999999999999996"/>
    <n v="0.23"/>
    <n v="0.65"/>
    <n v="0.51"/>
    <x v="2"/>
    <x v="1"/>
    <x v="1"/>
    <x v="2"/>
    <x v="2"/>
    <x v="2"/>
    <x v="2"/>
  </r>
  <r>
    <s v="/krs/530"/>
    <n v="530"/>
    <s v="ИКР"/>
    <x v="4"/>
    <x v="12"/>
    <x v="40"/>
    <d v="2018-05-17T00:00:00"/>
    <x v="30"/>
    <x v="0"/>
    <m/>
    <n v="1530"/>
    <n v="850"/>
    <n v="2380"/>
    <n v="0.64"/>
    <n v="119"/>
    <m/>
    <n v="59"/>
    <n v="118"/>
    <n v="3.4"/>
    <n v="3.5"/>
    <n v="0.7"/>
    <n v="0.64"/>
    <n v="0.91"/>
    <n v="0.73"/>
    <n v="0.5"/>
    <n v="0.36"/>
    <n v="113"/>
    <n v="107"/>
    <n v="4.4000000000000004"/>
    <n v="1"/>
    <n v="0.88"/>
    <n v="0.95"/>
    <n v="0.12"/>
    <n v="0.65"/>
    <n v="0.62"/>
    <x v="2"/>
    <x v="1"/>
    <x v="1"/>
    <x v="2"/>
    <x v="1"/>
    <x v="2"/>
    <x v="2"/>
  </r>
  <r>
    <s v="/krs/534"/>
    <n v="534"/>
    <s v="1"/>
    <x v="4"/>
    <x v="11"/>
    <x v="26"/>
    <d v="2018-05-08T00:00:00"/>
    <x v="17"/>
    <x v="0"/>
    <m/>
    <n v="186"/>
    <n v="74"/>
    <n v="260"/>
    <n v="0.72"/>
    <n v="13"/>
    <m/>
    <n v="9"/>
    <n v="13"/>
    <n v="3.9"/>
    <n v="4"/>
    <n v="0.8"/>
    <n v="0.72"/>
    <n v="0.92"/>
    <n v="0.81"/>
    <n v="0.69"/>
    <n v="0.28000000000000003"/>
    <n v="7"/>
    <n v="7"/>
    <n v="4.4000000000000004"/>
    <n v="1"/>
    <n v="0.89"/>
    <n v="1"/>
    <n v="0.11"/>
    <n v="0.83"/>
    <n v="0.56999999999999995"/>
    <x v="2"/>
    <x v="2"/>
    <x v="1"/>
    <x v="2"/>
    <x v="1"/>
    <x v="2"/>
    <x v="2"/>
  </r>
  <r>
    <s v="/krs/536"/>
    <n v="536"/>
    <s v="1"/>
    <x v="4"/>
    <x v="11"/>
    <x v="1"/>
    <d v="2018-05-14T00:00:00"/>
    <x v="17"/>
    <x v="0"/>
    <m/>
    <n v="186"/>
    <n v="38"/>
    <n v="224"/>
    <n v="0.83"/>
    <n v="16"/>
    <m/>
    <n v="15"/>
    <n v="16"/>
    <n v="4.3"/>
    <n v="4.3"/>
    <n v="0.86"/>
    <n v="0.83"/>
    <n v="1"/>
    <n v="1.04"/>
    <n v="0.94"/>
    <n v="0.17"/>
    <n v="16"/>
    <n v="15"/>
    <n v="4"/>
    <n v="1"/>
    <n v="0.8"/>
    <n v="0.94"/>
    <n v="0.2"/>
    <n v="0.88"/>
    <n v="0.74"/>
    <x v="2"/>
    <x v="2"/>
    <x v="1"/>
    <x v="1"/>
    <x v="2"/>
    <x v="3"/>
    <x v="1"/>
  </r>
  <r>
    <s v="/krs/537"/>
    <n v="537"/>
    <s v="ИКР"/>
    <x v="4"/>
    <x v="1"/>
    <x v="52"/>
    <d v="2018-05-15T00:00:00"/>
    <x v="8"/>
    <x v="1"/>
    <s v="_x000a_"/>
    <n v="2634"/>
    <n v="918"/>
    <n v="3552"/>
    <n v="0.74"/>
    <n v="111"/>
    <m/>
    <n v="78"/>
    <n v="111"/>
    <n v="3.8"/>
    <n v="3.8"/>
    <n v="0.75"/>
    <n v="0.74"/>
    <n v="0.96"/>
    <n v="0"/>
    <n v="0.7"/>
    <n v="0.26"/>
    <n v="0"/>
    <n v="0"/>
    <n v="0"/>
    <n v="0"/>
    <n v="0"/>
    <n v="0"/>
    <n v="1"/>
    <n v="0.74"/>
    <n v="0.74"/>
    <x v="2"/>
    <x v="2"/>
    <x v="1"/>
    <x v="1"/>
    <x v="1"/>
    <x v="3"/>
    <x v="2"/>
  </r>
  <r>
    <s v="/krs/538"/>
    <n v="538"/>
    <s v="ИКР"/>
    <x v="4"/>
    <x v="1"/>
    <x v="58"/>
    <d v="2018-05-17T00:00:00"/>
    <x v="16"/>
    <x v="0"/>
    <s v="Итоговая контрольная работа состоит из 20 заданий, 16 из которых базового уровня сложности, 4 – повышенного. "/>
    <n v="1407"/>
    <n v="753"/>
    <n v="2160"/>
    <n v="0.65"/>
    <n v="108"/>
    <m/>
    <n v="54"/>
    <n v="107"/>
    <n v="3.5"/>
    <n v="3.5"/>
    <n v="0.7"/>
    <n v="0.65"/>
    <n v="0.9"/>
    <n v="0.83"/>
    <n v="0.5"/>
    <n v="0.35"/>
    <n v="99"/>
    <n v="67"/>
    <n v="3.9"/>
    <n v="0.99"/>
    <n v="0.78"/>
    <n v="0.68"/>
    <n v="0.22"/>
    <n v="0.67"/>
    <n v="0.57999999999999996"/>
    <x v="2"/>
    <x v="1"/>
    <x v="1"/>
    <x v="2"/>
    <x v="1"/>
    <x v="2"/>
    <x v="2"/>
  </r>
  <r>
    <s v="/krs/539"/>
    <n v="539"/>
    <s v="ИКР"/>
    <x v="4"/>
    <x v="12"/>
    <x v="6"/>
    <d v="2018-05-10T00:00:00"/>
    <x v="16"/>
    <x v="0"/>
    <s v="Итоговая контрольная работа состоит из 11 заданий,  7 из которых базового уровня сложности,  3 – повышенного,  1 - высокого. _x000a_"/>
    <n v="1221"/>
    <n v="504"/>
    <n v="1725"/>
    <n v="0.71"/>
    <n v="115"/>
    <m/>
    <n v="72"/>
    <n v="113"/>
    <n v="3.7"/>
    <n v="3.7"/>
    <n v="0.75"/>
    <n v="0.71"/>
    <n v="0.92"/>
    <n v="0.85"/>
    <n v="0.64"/>
    <n v="0.28999999999999998"/>
    <n v="84"/>
    <n v="61"/>
    <n v="4.2"/>
    <n v="0.98"/>
    <n v="0.84"/>
    <n v="0.73"/>
    <n v="0.16"/>
    <n v="0.8"/>
    <n v="0.63"/>
    <x v="2"/>
    <x v="2"/>
    <x v="1"/>
    <x v="2"/>
    <x v="2"/>
    <x v="2"/>
    <x v="2"/>
  </r>
  <r>
    <s v="/krs/540"/>
    <n v="540"/>
    <s v="ИКР"/>
    <x v="4"/>
    <x v="12"/>
    <x v="58"/>
    <d v="2018-05-16T00:00:00"/>
    <x v="8"/>
    <x v="1"/>
    <s v="01.Установить соответствие между фамилиями писателей и названиями произведений, изученных в 7 классе, и именами их героев_x000a_02.Соотнести роды и жанры литературы_x000a_03.Назвать произведение, из которого взяты  строки_x000a_04.Характеризовать героя произведения на основе приведённого фрагмента_x000a_05.Указать ИВС,  используемые автором отрывка (1в.); соотнести героя с характеристикой (2в.)_x000a_06.Отметить понимание образной природы предлагаемого отрывка произведения; знание сюжета _x000a_07.Анализировать художественный текст, характеризовать героев произведения, выявлять авторский замысел_x000a_08.Анализировать художественный текст,  строить письменные высказывания_x000a_09.Соотнести персонажей с их репликами (1в.); выписать героев произведения на основе заданных особенностей характера (2в.)_x000a_10.Анализировать художественный текст, выявлять проблематику, характеризовать героев на основе их действий_x000a_11.Сопоставить эпизоды литературных произведений и сравнить их героев"/>
    <n v="1251"/>
    <n v="889"/>
    <n v="2140"/>
    <n v="0.57999999999999996"/>
    <n v="107"/>
    <m/>
    <n v="50"/>
    <n v="104"/>
    <n v="3.3"/>
    <n v="3.3"/>
    <n v="0.67"/>
    <n v="0.57999999999999996"/>
    <n v="0.8"/>
    <n v="0.68"/>
    <n v="0.48"/>
    <n v="0.42"/>
    <n v="99"/>
    <n v="82"/>
    <n v="4.2"/>
    <n v="1"/>
    <n v="0.85"/>
    <n v="0.83"/>
    <n v="0.15"/>
    <n v="0.64"/>
    <n v="0.56999999999999995"/>
    <x v="2"/>
    <x v="3"/>
    <x v="1"/>
    <x v="2"/>
    <x v="1"/>
    <x v="2"/>
    <x v="2"/>
  </r>
  <r>
    <s v="/krs/541"/>
    <n v="541"/>
    <s v="ИКР"/>
    <x v="4"/>
    <x v="3"/>
    <x v="15"/>
    <d v="2018-04-23T12:49:00"/>
    <x v="3"/>
    <x v="1"/>
    <s v="Итоговая контрольная работа 11в"/>
    <n v="418"/>
    <n v="102"/>
    <n v="520"/>
    <n v="0.8"/>
    <n v="20"/>
    <m/>
    <n v="17"/>
    <n v="20"/>
    <n v="4.2"/>
    <n v="4.2"/>
    <n v="0.83"/>
    <n v="0.8"/>
    <n v="1"/>
    <n v="0.94"/>
    <n v="0.85"/>
    <n v="0.2"/>
    <n v="19"/>
    <n v="16"/>
    <n v="4.3"/>
    <n v="1"/>
    <n v="0.85"/>
    <n v="0.84"/>
    <n v="0.15"/>
    <n v="0"/>
    <n v="0.77"/>
    <x v="2"/>
    <x v="2"/>
    <x v="1"/>
    <x v="1"/>
    <x v="2"/>
    <x v="1"/>
    <x v="1"/>
  </r>
  <r>
    <s v="/krs/542"/>
    <n v="542"/>
    <s v="ИКР"/>
    <x v="4"/>
    <x v="1"/>
    <x v="40"/>
    <d v="2018-05-08T00:00:00"/>
    <x v="7"/>
    <x v="0"/>
    <s v="Итоговая контрольная работа состоит из 20 заданий, 18 из которых  базового уровня сложности, 2 – повышенного. _x000a_Типы заданий: с кратким ответом – 15, с выбором ответа – 4, с развёрнутым ответом – 1._x000a_Содержание заданий соответствует  основным требованиям примерной программы по русскому языку для основного общего образования. "/>
    <n v="3319"/>
    <n v="1441"/>
    <n v="4760"/>
    <n v="0.7"/>
    <n v="119"/>
    <m/>
    <n v="72"/>
    <n v="117"/>
    <n v="3.7"/>
    <n v="3.6"/>
    <n v="0.74"/>
    <n v="0.7"/>
    <n v="0.94"/>
    <n v="0.84"/>
    <n v="0.62"/>
    <n v="0.3"/>
    <n v="113"/>
    <n v="98"/>
    <n v="4.2"/>
    <n v="1"/>
    <n v="0.83"/>
    <n v="0.87"/>
    <n v="0.17"/>
    <n v="0.72"/>
    <n v="0.74"/>
    <x v="2"/>
    <x v="2"/>
    <x v="1"/>
    <x v="2"/>
    <x v="1"/>
    <x v="2"/>
    <x v="2"/>
  </r>
  <r>
    <s v="/krs/549"/>
    <n v="549"/>
    <s v="ИКР"/>
    <x v="4"/>
    <x v="1"/>
    <x v="65"/>
    <d v="2018-05-22T00:00:00"/>
    <x v="9"/>
    <x v="0"/>
    <m/>
    <n v="1114"/>
    <n v="151"/>
    <n v="1265"/>
    <n v="0.88"/>
    <n v="55"/>
    <m/>
    <n v="53"/>
    <n v="55"/>
    <n v="4.4000000000000004"/>
    <n v="4.3"/>
    <n v="0.87"/>
    <n v="0.88"/>
    <n v="1"/>
    <n v="1.04"/>
    <n v="0.96"/>
    <n v="0.12"/>
    <n v="30"/>
    <n v="27"/>
    <n v="4.2"/>
    <n v="1"/>
    <n v="0.85"/>
    <n v="0.9"/>
    <n v="0.15"/>
    <n v="0.88"/>
    <n v="0.82"/>
    <x v="2"/>
    <x v="2"/>
    <x v="1"/>
    <x v="1"/>
    <x v="2"/>
    <x v="3"/>
    <x v="1"/>
  </r>
  <r>
    <s v="/krs/551"/>
    <n v="551"/>
    <s v="ИКР"/>
    <x v="4"/>
    <x v="12"/>
    <x v="65"/>
    <d v="2018-05-05T16:53:29"/>
    <x v="9"/>
    <x v="0"/>
    <s v="Итоговая контрольная работа проводится с целью определения уровня подготовки  учащихся к итоговому (допускному) сочинению в 11 классе; уровня изученных литературных произведений, предусмотренных программой по литературе для учащихся средней школы."/>
    <n v="342"/>
    <n v="36"/>
    <n v="378"/>
    <n v="0.9"/>
    <n v="54"/>
    <m/>
    <n v="0"/>
    <n v="54"/>
    <n v="4.5"/>
    <n v="1"/>
    <n v="0.2"/>
    <n v="0.9"/>
    <n v="0"/>
    <n v="1"/>
    <n v="0"/>
    <n v="0.1"/>
    <n v="29"/>
    <n v="25"/>
    <n v="4.5"/>
    <n v="1"/>
    <n v="0.9"/>
    <n v="0.86"/>
    <n v="0.1"/>
    <n v="1"/>
    <n v="0.86"/>
    <x v="1"/>
    <x v="2"/>
    <x v="2"/>
    <x v="1"/>
    <x v="1"/>
    <x v="3"/>
    <x v="1"/>
  </r>
  <r>
    <s v="/krs/552"/>
    <n v="552"/>
    <s v="552 итог 5А, 5В, 5Г"/>
    <x v="4"/>
    <x v="5"/>
    <x v="66"/>
    <d v="2018-05-23T00:00:00"/>
    <x v="36"/>
    <x v="1"/>
    <m/>
    <n v="1059"/>
    <n v="411"/>
    <n v="1470"/>
    <n v="0.72"/>
    <n v="42"/>
    <m/>
    <n v="25"/>
    <n v="42"/>
    <n v="3.8"/>
    <n v="3.8"/>
    <n v="0.76"/>
    <n v="0.72"/>
    <n v="0.95"/>
    <n v="0"/>
    <n v="0.6"/>
    <n v="0.28000000000000003"/>
    <n v="0"/>
    <n v="0"/>
    <n v="0"/>
    <n v="0"/>
    <n v="0"/>
    <n v="0"/>
    <n v="1"/>
    <n v="0.7"/>
    <n v="0"/>
    <x v="2"/>
    <x v="2"/>
    <x v="1"/>
    <x v="1"/>
    <x v="1"/>
    <x v="3"/>
    <x v="2"/>
  </r>
  <r>
    <s v="/krs/555"/>
    <n v="555"/>
    <s v="555 итог 6А, 6Б, 6В, 6Г, 6Д"/>
    <x v="4"/>
    <x v="8"/>
    <x v="40"/>
    <d v="2018-04-25T08:53:07"/>
    <x v="12"/>
    <x v="1"/>
    <m/>
    <n v="1188"/>
    <n v="486"/>
    <n v="1674"/>
    <n v="0.71"/>
    <n v="62"/>
    <m/>
    <n v="34"/>
    <n v="62"/>
    <n v="3.6"/>
    <n v="3.6"/>
    <n v="0.73"/>
    <n v="0.71"/>
    <n v="0.95"/>
    <n v="0.83"/>
    <n v="0.55000000000000004"/>
    <n v="0.28999999999999998"/>
    <n v="35"/>
    <n v="26"/>
    <n v="4.3"/>
    <n v="1"/>
    <n v="0.86"/>
    <n v="0.74"/>
    <n v="0.14000000000000001"/>
    <n v="0.69"/>
    <n v="0.75"/>
    <x v="2"/>
    <x v="2"/>
    <x v="1"/>
    <x v="2"/>
    <x v="1"/>
    <x v="2"/>
    <x v="2"/>
  </r>
  <r>
    <s v="/krs/556"/>
    <n v="556"/>
    <s v="556 итог 8А, 8Б, 8В, 8Г, 8Д"/>
    <x v="4"/>
    <x v="8"/>
    <x v="6"/>
    <d v="2018-04-25T09:34:42"/>
    <x v="12"/>
    <x v="1"/>
    <m/>
    <n v="921"/>
    <n v="206"/>
    <n v="1127"/>
    <n v="0.82"/>
    <n v="49"/>
    <m/>
    <n v="42"/>
    <n v="49"/>
    <n v="4.2"/>
    <n v="4.2"/>
    <n v="0.84"/>
    <n v="0.82"/>
    <n v="0.98"/>
    <n v="0"/>
    <n v="0.86"/>
    <n v="0.18"/>
    <n v="0"/>
    <n v="0"/>
    <n v="0"/>
    <n v="0"/>
    <n v="0"/>
    <n v="0"/>
    <n v="1"/>
    <n v="0.86"/>
    <n v="0.55000000000000004"/>
    <x v="2"/>
    <x v="2"/>
    <x v="1"/>
    <x v="1"/>
    <x v="1"/>
    <x v="3"/>
    <x v="2"/>
  </r>
  <r>
    <s v="/krs/557"/>
    <n v="557"/>
    <s v="557 итог 9А, 9Б"/>
    <x v="4"/>
    <x v="8"/>
    <x v="62"/>
    <d v="2018-04-25T09:50:29"/>
    <x v="12"/>
    <x v="1"/>
    <m/>
    <n v="474"/>
    <n v="201"/>
    <n v="675"/>
    <n v="0.7"/>
    <n v="27"/>
    <m/>
    <n v="15"/>
    <n v="27"/>
    <n v="3.5"/>
    <n v="3.5"/>
    <n v="0.7"/>
    <n v="0.7"/>
    <n v="0.93"/>
    <n v="0"/>
    <n v="0.56000000000000005"/>
    <n v="0.3"/>
    <n v="0"/>
    <n v="0"/>
    <n v="0"/>
    <n v="0"/>
    <n v="0"/>
    <n v="0"/>
    <n v="1"/>
    <n v="0.77"/>
    <n v="0.28999999999999998"/>
    <x v="2"/>
    <x v="2"/>
    <x v="1"/>
    <x v="1"/>
    <x v="1"/>
    <x v="3"/>
    <x v="2"/>
  </r>
  <r>
    <s v="/krs/560"/>
    <n v="560"/>
    <s v="560 итог 5А, 5Б, 5В, 5Г"/>
    <x v="4"/>
    <x v="13"/>
    <x v="52"/>
    <d v="2018-05-22T00:00:00"/>
    <x v="38"/>
    <x v="0"/>
    <m/>
    <n v="1330"/>
    <n v="540"/>
    <n v="1870"/>
    <n v="0.71"/>
    <n v="55"/>
    <m/>
    <n v="34"/>
    <n v="55"/>
    <n v="3.7"/>
    <n v="3.7"/>
    <n v="0.73"/>
    <n v="0.71"/>
    <n v="0.91"/>
    <n v="0"/>
    <n v="0.62"/>
    <n v="0.28999999999999998"/>
    <n v="0"/>
    <n v="0"/>
    <n v="0"/>
    <n v="0"/>
    <n v="0"/>
    <n v="0"/>
    <n v="1"/>
    <n v="0.7"/>
    <n v="0.73"/>
    <x v="2"/>
    <x v="2"/>
    <x v="1"/>
    <x v="1"/>
    <x v="1"/>
    <x v="3"/>
    <x v="2"/>
  </r>
  <r>
    <s v="/krs/563"/>
    <n v="563"/>
    <s v="метапредметная"/>
    <x v="4"/>
    <x v="16"/>
    <x v="58"/>
    <d v="2018-04-26T09:02:47"/>
    <x v="4"/>
    <x v="1"/>
    <m/>
    <n v="1504"/>
    <n v="1171"/>
    <n v="2675"/>
    <n v="0.56000000000000005"/>
    <n v="107"/>
    <m/>
    <n v="22"/>
    <n v="107"/>
    <n v="2.9"/>
    <n v="3"/>
    <n v="0.59"/>
    <n v="0.56000000000000005"/>
    <n v="0.76"/>
    <n v="0"/>
    <n v="0.21"/>
    <n v="0.44"/>
    <n v="0"/>
    <n v="0"/>
    <n v="0"/>
    <n v="0"/>
    <n v="0"/>
    <n v="0"/>
    <n v="1"/>
    <n v="0.55000000000000004"/>
    <n v="0.54"/>
    <x v="2"/>
    <x v="3"/>
    <x v="1"/>
    <x v="1"/>
    <x v="1"/>
    <x v="3"/>
    <x v="2"/>
  </r>
  <r>
    <s v="/krs/564"/>
    <n v="564"/>
    <s v="Тест "/>
    <x v="1"/>
    <x v="1"/>
    <x v="1"/>
    <d v="2018-04-26T14:24:43"/>
    <x v="1"/>
    <x v="1"/>
    <s v="Прямая и косвенная речь. Цитирование"/>
    <n v="247"/>
    <n v="73"/>
    <n v="320"/>
    <n v="0.77"/>
    <n v="16"/>
    <m/>
    <n v="14"/>
    <n v="16"/>
    <n v="3.6"/>
    <n v="4.0999999999999996"/>
    <n v="0.81"/>
    <n v="0.77"/>
    <n v="1"/>
    <n v="1.08"/>
    <n v="0.88"/>
    <n v="0.23"/>
    <n v="16"/>
    <n v="9"/>
    <n v="3.6"/>
    <n v="1"/>
    <n v="0.71"/>
    <n v="0.56000000000000005"/>
    <n v="0.28999999999999998"/>
    <n v="0.79"/>
    <n v="0.63"/>
    <x v="2"/>
    <x v="2"/>
    <x v="1"/>
    <x v="1"/>
    <x v="1"/>
    <x v="3"/>
    <x v="1"/>
  </r>
  <r>
    <s v="/krs/565"/>
    <n v="565"/>
    <s v="565 итог 7Б"/>
    <x v="4"/>
    <x v="5"/>
    <x v="5"/>
    <d v="2018-04-26T15:02:41"/>
    <x v="37"/>
    <x v="0"/>
    <m/>
    <m/>
    <m/>
    <m/>
    <m/>
    <m/>
    <m/>
    <m/>
    <m/>
    <m/>
    <m/>
    <m/>
    <m/>
    <m/>
    <m/>
    <m/>
    <m/>
    <m/>
    <m/>
    <m/>
    <m/>
    <m/>
    <m/>
    <m/>
    <m/>
    <m/>
    <x v="0"/>
    <x v="0"/>
    <x v="0"/>
    <x v="0"/>
    <x v="0"/>
    <x v="0"/>
    <x v="0"/>
  </r>
  <r>
    <s v="/krs/566"/>
    <n v="566"/>
    <s v="Тематический тест"/>
    <x v="1"/>
    <x v="1"/>
    <x v="3"/>
    <d v="2018-04-26T15:26:32"/>
    <x v="1"/>
    <x v="1"/>
    <s v="Прямая и косвенная речь. Цитирование_x000a_"/>
    <n v="351"/>
    <n v="109"/>
    <n v="460"/>
    <n v="0.76"/>
    <n v="23"/>
    <m/>
    <n v="19"/>
    <n v="23"/>
    <n v="3.7"/>
    <n v="4.0999999999999996"/>
    <n v="0.82"/>
    <n v="0.76"/>
    <n v="1"/>
    <n v="0"/>
    <n v="0.83"/>
    <n v="0.24"/>
    <n v="0"/>
    <n v="0"/>
    <n v="0"/>
    <n v="0"/>
    <n v="0"/>
    <n v="0"/>
    <n v="1"/>
    <n v="0.79"/>
    <n v="0.56999999999999995"/>
    <x v="2"/>
    <x v="2"/>
    <x v="1"/>
    <x v="1"/>
    <x v="1"/>
    <x v="3"/>
    <x v="2"/>
  </r>
  <r>
    <s v="/krs/567"/>
    <n v="567"/>
    <s v="567 итог 5Б"/>
    <x v="4"/>
    <x v="8"/>
    <x v="16"/>
    <d v="2018-04-29T17:41:41"/>
    <x v="39"/>
    <x v="1"/>
    <s v="Итоговая контрольная работа за курс 5 класса"/>
    <n v="179"/>
    <n v="73"/>
    <n v="252"/>
    <n v="0.71"/>
    <n v="12"/>
    <m/>
    <n v="8"/>
    <n v="12"/>
    <n v="3.7"/>
    <n v="3.7"/>
    <n v="0.73"/>
    <n v="0.71"/>
    <n v="1"/>
    <n v="0"/>
    <n v="0.67"/>
    <n v="0.28999999999999998"/>
    <n v="0"/>
    <n v="0"/>
    <n v="0"/>
    <n v="0"/>
    <n v="0"/>
    <n v="0"/>
    <n v="1"/>
    <n v="0.75"/>
    <n v="0"/>
    <x v="2"/>
    <x v="2"/>
    <x v="1"/>
    <x v="1"/>
    <x v="1"/>
    <x v="3"/>
    <x v="2"/>
  </r>
  <r>
    <s v="/krs/568"/>
    <n v="568"/>
    <s v="568 итог 6А, 6Б, 6В, 6Г, 6Д"/>
    <x v="4"/>
    <x v="8"/>
    <x v="40"/>
    <d v="2018-04-29T18:38:27"/>
    <x v="39"/>
    <x v="1"/>
    <s v="Итоговая контрольная работа для 6 класса"/>
    <n v="1020"/>
    <n v="546"/>
    <n v="1566"/>
    <n v="0.65"/>
    <n v="56"/>
    <m/>
    <n v="26"/>
    <n v="56"/>
    <n v="3.5"/>
    <n v="3.5"/>
    <n v="0.69"/>
    <n v="0.65"/>
    <n v="0.91"/>
    <n v="0.79"/>
    <n v="0.46"/>
    <n v="0.35"/>
    <n v="32"/>
    <n v="24"/>
    <n v="4.0999999999999996"/>
    <n v="1"/>
    <n v="0.82"/>
    <n v="0.75"/>
    <n v="0.18"/>
    <n v="0.68"/>
    <n v="0"/>
    <x v="2"/>
    <x v="1"/>
    <x v="1"/>
    <x v="2"/>
    <x v="1"/>
    <x v="2"/>
    <x v="2"/>
  </r>
  <r>
    <s v="/krs/569"/>
    <n v="569"/>
    <s v="569 итог 7А, 7Б, 7В физ-мат, 7Г"/>
    <x v="4"/>
    <x v="8"/>
    <x v="58"/>
    <d v="2018-04-29T19:12:25"/>
    <x v="39"/>
    <x v="1"/>
    <s v="Итоговая контрольная работа  за курс 7 класса"/>
    <n v="1033"/>
    <n v="560"/>
    <n v="1593"/>
    <n v="0.65"/>
    <n v="59"/>
    <m/>
    <n v="27"/>
    <n v="59"/>
    <n v="3.4"/>
    <n v="3.4"/>
    <n v="0.67"/>
    <n v="0.65"/>
    <n v="0.81"/>
    <n v="0"/>
    <n v="0.46"/>
    <n v="0.35"/>
    <n v="0"/>
    <n v="0"/>
    <n v="0"/>
    <n v="0"/>
    <n v="0"/>
    <n v="0"/>
    <n v="1"/>
    <n v="0.68"/>
    <n v="0.41"/>
    <x v="2"/>
    <x v="1"/>
    <x v="1"/>
    <x v="1"/>
    <x v="1"/>
    <x v="3"/>
    <x v="2"/>
  </r>
  <r>
    <s v="/krs/571"/>
    <n v="571"/>
    <s v="01"/>
    <x v="4"/>
    <x v="6"/>
    <x v="18"/>
    <d v="2018-05-15T00:00:00"/>
    <x v="24"/>
    <x v="0"/>
    <m/>
    <n v="883"/>
    <n v="449"/>
    <n v="1332"/>
    <n v="0.66"/>
    <n v="74"/>
    <m/>
    <n v="27"/>
    <n v="74"/>
    <n v="3.4"/>
    <n v="3.4"/>
    <n v="0.67"/>
    <n v="0.66"/>
    <n v="0.96"/>
    <n v="0.8"/>
    <n v="0.36"/>
    <n v="0.34"/>
    <n v="47"/>
    <n v="33"/>
    <n v="4.0999999999999996"/>
    <n v="1"/>
    <n v="0.83"/>
    <n v="0.7"/>
    <n v="0.17"/>
    <n v="0.68"/>
    <n v="0.6"/>
    <x v="2"/>
    <x v="1"/>
    <x v="1"/>
    <x v="2"/>
    <x v="1"/>
    <x v="2"/>
    <x v="2"/>
  </r>
  <r>
    <s v="/krs/572"/>
    <n v="572"/>
    <s v="07"/>
    <x v="4"/>
    <x v="5"/>
    <x v="40"/>
    <d v="2018-05-16T00:00:00"/>
    <x v="22"/>
    <x v="1"/>
    <m/>
    <n v="1686"/>
    <n v="638"/>
    <n v="2324"/>
    <n v="0.73"/>
    <n v="83"/>
    <m/>
    <n v="53"/>
    <n v="83"/>
    <n v="3.8"/>
    <n v="3.8"/>
    <n v="0.75"/>
    <n v="0.73"/>
    <n v="0.96"/>
    <n v="0.86"/>
    <n v="0.64"/>
    <n v="0.27"/>
    <n v="78"/>
    <n v="62"/>
    <n v="4.2"/>
    <n v="1"/>
    <n v="0.85"/>
    <n v="0.79"/>
    <n v="0.15"/>
    <n v="0.63"/>
    <n v="0.8"/>
    <x v="2"/>
    <x v="2"/>
    <x v="1"/>
    <x v="2"/>
    <x v="1"/>
    <x v="2"/>
    <x v="2"/>
  </r>
  <r>
    <s v="/krs/573"/>
    <n v="573"/>
    <s v="11"/>
    <x v="4"/>
    <x v="5"/>
    <x v="21"/>
    <d v="2018-05-16T00:00:00"/>
    <x v="19"/>
    <x v="0"/>
    <m/>
    <n v="592"/>
    <n v="136"/>
    <n v="728"/>
    <n v="0.81"/>
    <n v="26"/>
    <m/>
    <n v="24"/>
    <n v="26"/>
    <n v="4.2"/>
    <n v="4.2"/>
    <n v="0.85"/>
    <n v="0.81"/>
    <n v="1"/>
    <n v="0.96"/>
    <n v="0.92"/>
    <n v="0.19"/>
    <n v="25"/>
    <n v="18"/>
    <n v="4.2"/>
    <n v="1"/>
    <n v="0.84"/>
    <n v="0.72"/>
    <n v="0.16"/>
    <n v="0.73"/>
    <n v="0.86"/>
    <x v="2"/>
    <x v="2"/>
    <x v="1"/>
    <x v="1"/>
    <x v="1"/>
    <x v="3"/>
    <x v="1"/>
  </r>
  <r>
    <s v="/krs/574"/>
    <n v="574"/>
    <s v="574 итог 5А"/>
    <x v="4"/>
    <x v="8"/>
    <x v="24"/>
    <d v="2018-04-30T21:08:47"/>
    <x v="39"/>
    <x v="1"/>
    <s v="Итоговая контрольная работа за курс 5 класса_x000a_"/>
    <n v="263"/>
    <n v="52"/>
    <n v="315"/>
    <n v="0.83"/>
    <n v="15"/>
    <m/>
    <n v="12"/>
    <n v="15"/>
    <n v="4.2"/>
    <n v="4.2"/>
    <n v="0.84"/>
    <n v="0.83"/>
    <n v="1"/>
    <n v="0"/>
    <n v="0.8"/>
    <n v="0.17"/>
    <n v="0"/>
    <n v="0"/>
    <n v="0"/>
    <n v="0"/>
    <n v="0"/>
    <n v="0"/>
    <n v="1"/>
    <n v="0.81"/>
    <n v="0"/>
    <x v="2"/>
    <x v="2"/>
    <x v="1"/>
    <x v="1"/>
    <x v="1"/>
    <x v="3"/>
    <x v="2"/>
  </r>
  <r>
    <s v="/krs/575"/>
    <n v="575"/>
    <s v="ИКР"/>
    <x v="4"/>
    <x v="13"/>
    <x v="58"/>
    <d v="2018-04-30T00:00:00"/>
    <x v="18"/>
    <x v="1"/>
    <s v="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французскому языку для 7-х классов. Итоговая контрольная работа состоит из 7 заданий, 5 из которых базового уровня слож-ности, 2 – повышенного. _x000a_Типы заданий: с выбором ответа – 5, с развёрнутым ответом – 2._x000a_Содержание заданий соответствует основным требованиям примерной программы по французскому языку для основного общего образования. Для разработки заданий исполь-зован Кодификатор элементов содержания и требований к уровню подготовки учащихся, освоивших основные общеобразовательные программы основного общего образования, по французскому языку, в который включены планируемые образовательные результаты, которые относятся в блоку «Ученик научится»._x000a_"/>
    <n v="1698"/>
    <n v="752"/>
    <n v="2450"/>
    <n v="0.69"/>
    <n v="49"/>
    <m/>
    <n v="35"/>
    <n v="48"/>
    <n v="3.8"/>
    <n v="3.7"/>
    <n v="0.76"/>
    <n v="0.69"/>
    <n v="0.98"/>
    <n v="0"/>
    <n v="0.73"/>
    <n v="0.31"/>
    <n v="0"/>
    <n v="0"/>
    <n v="0"/>
    <n v="0"/>
    <n v="0"/>
    <n v="0"/>
    <n v="1"/>
    <n v="0.66"/>
    <n v="0.67"/>
    <x v="2"/>
    <x v="1"/>
    <x v="1"/>
    <x v="1"/>
    <x v="1"/>
    <x v="3"/>
    <x v="2"/>
  </r>
  <r>
    <s v="/krs/576"/>
    <n v="576"/>
    <s v="ИКР"/>
    <x v="4"/>
    <x v="13"/>
    <x v="6"/>
    <d v="2018-04-30T00:00:00"/>
    <x v="18"/>
    <x v="1"/>
    <s v="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французскому языку для 8-х классов. Итоговая контрольная работа состоит из 8 заданий, 6 из которых базового уровня сложности, 2 – повышенного._x000a_Типы заданий: с выбором ответа – 7, с развёрнутым ответом – 1._x000a_Содержание заданий соответствует основным требованиям примерной программы по французскому языку для основного общего образования. Для разработки заданий использован Кодификатор элементов содержания и требований к уровню подготовки учащихся, освоивших основные общеобразовательные программы основного общего образования, по французскому языку, в который включены планируемые образовательные результаты, которые относятся в блоку «Ученик научится»._x000a_"/>
    <n v="2673"/>
    <n v="627"/>
    <n v="3300"/>
    <n v="0.81"/>
    <n v="66"/>
    <m/>
    <n v="58"/>
    <n v="66"/>
    <n v="4.2"/>
    <n v="4.2"/>
    <n v="0.83"/>
    <n v="0.81"/>
    <n v="1"/>
    <n v="0"/>
    <n v="0.88"/>
    <n v="0.19"/>
    <n v="0"/>
    <n v="0"/>
    <n v="0"/>
    <n v="0"/>
    <n v="0"/>
    <n v="0"/>
    <n v="1"/>
    <n v="0.82"/>
    <n v="0.77"/>
    <x v="2"/>
    <x v="2"/>
    <x v="1"/>
    <x v="1"/>
    <x v="1"/>
    <x v="3"/>
    <x v="2"/>
  </r>
  <r>
    <s v="/krs/577"/>
    <n v="577"/>
    <s v="ИКР"/>
    <x v="4"/>
    <x v="13"/>
    <x v="18"/>
    <d v="2018-04-30T00:00:00"/>
    <x v="18"/>
    <x v="1"/>
    <s v="Итоговая контрольная работа проводится с целью определения уровня усвоения учащимися контрольных элементов содержания и сформированности учебных действий, предусмотренных программой по французскому языку для 9-х классов. Итоговая контрольная работа состоит из 4 разделов: 6 заданий, 4 из которых базового уровня сложности, 2 – повышенного._x000a_Типы заданий: с выбором ответа – 5, с развёрнутым ответом – 1._x000a_Содержание заданий соответствует основным требованиям примерной программы по французскому языку для основного общего образования. Для разработки заданий исполь-зован Кодификатор элементов содержания и требований к уровню подготовки учащихся, освоивших основные общеобразовательные программы основного общего образования, по французскому языку, в который включены планируемые образовательные результаты, которые относятся в блоку «Ученик научится»._x000a_"/>
    <n v="1617"/>
    <n v="453"/>
    <n v="2070"/>
    <n v="0.78"/>
    <n v="46"/>
    <m/>
    <n v="42"/>
    <n v="46"/>
    <n v="4.0999999999999996"/>
    <n v="4.0999999999999996"/>
    <n v="0.82"/>
    <n v="0.78"/>
    <n v="1"/>
    <n v="0.92"/>
    <n v="0.91"/>
    <n v="0.22"/>
    <n v="22"/>
    <n v="16"/>
    <n v="4.3"/>
    <n v="1"/>
    <n v="0.85"/>
    <n v="0.73"/>
    <n v="0.15"/>
    <n v="0.78"/>
    <n v="0.71"/>
    <x v="2"/>
    <x v="2"/>
    <x v="1"/>
    <x v="3"/>
    <x v="1"/>
    <x v="1"/>
    <x v="1"/>
  </r>
  <r>
    <s v="/krs/578"/>
    <n v="578"/>
    <s v="578 итог 9А, 9Б, 9В"/>
    <x v="4"/>
    <x v="9"/>
    <x v="18"/>
    <d v="2018-05-18T00:00:00"/>
    <x v="24"/>
    <x v="0"/>
    <m/>
    <n v="697"/>
    <n v="265"/>
    <n v="962"/>
    <n v="0.72"/>
    <n v="74"/>
    <m/>
    <n v="45"/>
    <n v="74"/>
    <n v="3.7"/>
    <n v="3.7"/>
    <n v="0.75"/>
    <n v="0.72"/>
    <n v="1"/>
    <n v="0.88"/>
    <n v="0.61"/>
    <n v="0.28000000000000003"/>
    <n v="47"/>
    <n v="29"/>
    <n v="4.0999999999999996"/>
    <n v="1"/>
    <n v="0.82"/>
    <n v="0.62"/>
    <n v="0.18"/>
    <n v="0.7"/>
    <n v="0.73"/>
    <x v="2"/>
    <x v="2"/>
    <x v="1"/>
    <x v="3"/>
    <x v="2"/>
    <x v="2"/>
    <x v="2"/>
  </r>
  <r>
    <s v="/krs/579"/>
    <n v="579"/>
    <s v="579 итог 5А, 5Б, 5В, 5Г"/>
    <x v="4"/>
    <x v="6"/>
    <x v="52"/>
    <d v="2018-05-24T00:00:00"/>
    <x v="31"/>
    <x v="0"/>
    <s v="Итоговая контрольная работа по истории Древнего мира"/>
    <n v="1687"/>
    <n v="977"/>
    <n v="2664"/>
    <n v="0.63"/>
    <n v="111"/>
    <m/>
    <n v="45"/>
    <n v="111"/>
    <n v="3.3"/>
    <n v="3.3"/>
    <n v="0.66"/>
    <n v="0.63"/>
    <n v="0.91"/>
    <n v="0"/>
    <n v="0.41"/>
    <n v="0.37"/>
    <n v="0"/>
    <n v="0"/>
    <n v="0"/>
    <n v="0"/>
    <n v="0"/>
    <n v="0"/>
    <n v="1"/>
    <n v="0.6"/>
    <n v="0.66"/>
    <x v="2"/>
    <x v="1"/>
    <x v="1"/>
    <x v="1"/>
    <x v="1"/>
    <x v="3"/>
    <x v="2"/>
  </r>
  <r>
    <s v="/krs/580"/>
    <n v="580"/>
    <s v="01"/>
    <x v="4"/>
    <x v="9"/>
    <x v="31"/>
    <d v="2018-05-17T00:00:00"/>
    <x v="24"/>
    <x v="0"/>
    <m/>
    <n v="542"/>
    <n v="241"/>
    <n v="783"/>
    <n v="0.69"/>
    <n v="27"/>
    <m/>
    <n v="16"/>
    <n v="27"/>
    <n v="3.7"/>
    <n v="3.7"/>
    <n v="0.75"/>
    <n v="0.69"/>
    <n v="1"/>
    <n v="0.85"/>
    <n v="0.59"/>
    <n v="0.31"/>
    <n v="15"/>
    <n v="11"/>
    <n v="4.0999999999999996"/>
    <n v="1"/>
    <n v="0.81"/>
    <n v="0.73"/>
    <n v="0.19"/>
    <n v="0.64"/>
    <n v="0.71"/>
    <x v="2"/>
    <x v="1"/>
    <x v="1"/>
    <x v="2"/>
    <x v="1"/>
    <x v="2"/>
    <x v="2"/>
  </r>
  <r>
    <s v="/krs/581"/>
    <n v="581"/>
    <s v="581 итог 11Б физ-мат, 11В хим-био"/>
    <x v="4"/>
    <x v="6"/>
    <x v="46"/>
    <d v="2018-05-12T00:00:00"/>
    <x v="31"/>
    <x v="0"/>
    <s v="Итоговая контрольная работа по курсу &quot;Россия и мир&quot; в 11-х классах  (базовый уровень)"/>
    <n v="407"/>
    <n v="313"/>
    <n v="720"/>
    <n v="0.56999999999999995"/>
    <n v="36"/>
    <m/>
    <n v="13"/>
    <n v="36"/>
    <n v="3"/>
    <n v="3"/>
    <n v="0.59"/>
    <n v="0.56999999999999995"/>
    <n v="0.57999999999999996"/>
    <n v="0.72"/>
    <n v="0.36"/>
    <n v="0.43"/>
    <n v="35"/>
    <n v="25"/>
    <n v="3.9"/>
    <n v="1"/>
    <n v="0.79"/>
    <n v="0.71"/>
    <n v="0.21"/>
    <n v="0.56000000000000005"/>
    <n v="0.57999999999999996"/>
    <x v="2"/>
    <x v="3"/>
    <x v="3"/>
    <x v="2"/>
    <x v="1"/>
    <x v="2"/>
    <x v="2"/>
  </r>
  <r>
    <s v="/krs/582"/>
    <n v="582"/>
    <s v="582 итог 10А соц-гум"/>
    <x v="4"/>
    <x v="6"/>
    <x v="41"/>
    <d v="2018-05-16T00:00:00"/>
    <x v="24"/>
    <x v="0"/>
    <m/>
    <n v="215"/>
    <n v="175"/>
    <n v="390"/>
    <n v="0.55000000000000004"/>
    <n v="13"/>
    <m/>
    <n v="2"/>
    <n v="12"/>
    <n v="3.2"/>
    <n v="2.8"/>
    <n v="0.6"/>
    <n v="0.55000000000000004"/>
    <n v="0.67"/>
    <n v="0.71"/>
    <n v="0.17"/>
    <n v="0.45"/>
    <n v="7"/>
    <n v="3"/>
    <n v="3.9"/>
    <n v="1"/>
    <n v="0.78"/>
    <n v="0.43"/>
    <n v="0.22"/>
    <n v="0.57999999999999996"/>
    <n v="0.56000000000000005"/>
    <x v="2"/>
    <x v="3"/>
    <x v="3"/>
    <x v="2"/>
    <x v="1"/>
    <x v="2"/>
    <x v="2"/>
  </r>
  <r>
    <s v="/krs/583"/>
    <n v="583"/>
    <s v="583 итог 8А, 8Б, 8В, 8Г, 8Д"/>
    <x v="4"/>
    <x v="6"/>
    <x v="6"/>
    <d v="2018-05-18T00:00:00"/>
    <x v="31"/>
    <x v="0"/>
    <s v="Итоговая контрольная работа по истории: 14.05.2018 - 8а, 18.05.2018 - 8бвг, 21.05.2018 - 8д"/>
    <n v="1621"/>
    <n v="1139"/>
    <n v="2760"/>
    <n v="0.59"/>
    <n v="115"/>
    <m/>
    <n v="43"/>
    <n v="115"/>
    <n v="3.2"/>
    <n v="3.2"/>
    <n v="0.64"/>
    <n v="0.59"/>
    <n v="0.8"/>
    <n v="0.76"/>
    <n v="0.37"/>
    <n v="0.41"/>
    <n v="84"/>
    <n v="51"/>
    <n v="3.9"/>
    <n v="1"/>
    <n v="0.78"/>
    <n v="0.61"/>
    <n v="0.22"/>
    <n v="0.61"/>
    <n v="0.56999999999999995"/>
    <x v="2"/>
    <x v="3"/>
    <x v="1"/>
    <x v="2"/>
    <x v="1"/>
    <x v="2"/>
    <x v="2"/>
  </r>
  <r>
    <s v="/krs/584"/>
    <n v="584"/>
    <s v="ИКР"/>
    <x v="4"/>
    <x v="9"/>
    <x v="6"/>
    <d v="2018-05-16T00:00:00"/>
    <x v="31"/>
    <x v="1"/>
    <s v="Итоговая контрольная работа по обществознанию в 8-х классах"/>
    <n v="1837"/>
    <n v="693"/>
    <n v="2530"/>
    <n v="0.73"/>
    <n v="115"/>
    <m/>
    <n v="73"/>
    <n v="115"/>
    <n v="3.7"/>
    <n v="3.7"/>
    <n v="0.74"/>
    <n v="0.73"/>
    <n v="0.94"/>
    <n v="0.88"/>
    <n v="0.63"/>
    <n v="0.27"/>
    <n v="84"/>
    <n v="61"/>
    <n v="4.0999999999999996"/>
    <n v="1"/>
    <n v="0.83"/>
    <n v="0.73"/>
    <n v="0.17"/>
    <n v="0.77"/>
    <n v="0.67"/>
    <x v="2"/>
    <x v="2"/>
    <x v="1"/>
    <x v="3"/>
    <x v="1"/>
    <x v="2"/>
    <x v="2"/>
  </r>
  <r>
    <s v="/krs/585"/>
    <n v="585"/>
    <s v="11"/>
    <x v="4"/>
    <x v="5"/>
    <x v="41"/>
    <d v="2018-05-15T00:00:00"/>
    <x v="19"/>
    <x v="0"/>
    <m/>
    <n v="569"/>
    <n v="289"/>
    <n v="858"/>
    <n v="0.66"/>
    <n v="13"/>
    <m/>
    <n v="7"/>
    <n v="13"/>
    <n v="3.5"/>
    <n v="3.5"/>
    <n v="0.69"/>
    <n v="0.66"/>
    <n v="0.85"/>
    <n v="0.77"/>
    <n v="0.54"/>
    <n v="0.34"/>
    <n v="7"/>
    <n v="6"/>
    <n v="4.3"/>
    <n v="1"/>
    <n v="0.86"/>
    <n v="0.86"/>
    <n v="0.14000000000000001"/>
    <n v="0.64"/>
    <n v="0.61"/>
    <x v="2"/>
    <x v="1"/>
    <x v="1"/>
    <x v="2"/>
    <x v="1"/>
    <x v="2"/>
    <x v="2"/>
  </r>
  <r>
    <s v="/krs/586"/>
    <n v="586"/>
    <s v="586 итог 7А"/>
    <x v="4"/>
    <x v="6"/>
    <x v="58"/>
    <d v="2018-05-02T18:11:57"/>
    <x v="13"/>
    <x v="1"/>
    <m/>
    <n v="1428"/>
    <n v="732"/>
    <n v="2160"/>
    <n v="0.66"/>
    <n v="106"/>
    <m/>
    <n v="44"/>
    <n v="106"/>
    <n v="3.5"/>
    <n v="3.5"/>
    <n v="0.7"/>
    <n v="0.66"/>
    <n v="1"/>
    <n v="0.81"/>
    <n v="0.42"/>
    <n v="0.34"/>
    <n v="99"/>
    <n v="68"/>
    <n v="4"/>
    <n v="0.99"/>
    <n v="0.81"/>
    <n v="0.69"/>
    <n v="0.19"/>
    <n v="0.86"/>
    <n v="0.56999999999999995"/>
    <x v="2"/>
    <x v="1"/>
    <x v="1"/>
    <x v="2"/>
    <x v="1"/>
    <x v="2"/>
    <x v="2"/>
  </r>
  <r>
    <s v="/krs/587"/>
    <n v="587"/>
    <s v="11"/>
    <x v="4"/>
    <x v="5"/>
    <x v="13"/>
    <d v="2018-05-07T00:00:00"/>
    <x v="19"/>
    <x v="0"/>
    <m/>
    <n v="652"/>
    <n v="272"/>
    <n v="924"/>
    <n v="0.71"/>
    <n v="14"/>
    <m/>
    <n v="10"/>
    <n v="14"/>
    <n v="3.8"/>
    <n v="3.8"/>
    <n v="0.76"/>
    <n v="0.71"/>
    <n v="0.86"/>
    <n v="0.82"/>
    <n v="0.71"/>
    <n v="0.28999999999999998"/>
    <n v="14"/>
    <n v="12"/>
    <n v="4.4000000000000004"/>
    <n v="1"/>
    <n v="0.87"/>
    <n v="0.86"/>
    <n v="0.13"/>
    <n v="0.61"/>
    <n v="0.69"/>
    <x v="2"/>
    <x v="2"/>
    <x v="1"/>
    <x v="2"/>
    <x v="1"/>
    <x v="2"/>
    <x v="2"/>
  </r>
  <r>
    <s v="/krs/590"/>
    <n v="590"/>
    <s v="590 итог 11А, 11Б физ-мат, 11В хим-био"/>
    <x v="4"/>
    <x v="9"/>
    <x v="50"/>
    <d v="2018-05-02T19:33:31"/>
    <x v="13"/>
    <x v="1"/>
    <m/>
    <n v="2031"/>
    <n v="873"/>
    <n v="2904"/>
    <n v="0.7"/>
    <n v="62"/>
    <m/>
    <n v="49"/>
    <n v="62"/>
    <n v="3.9"/>
    <n v="3.8"/>
    <n v="0.77"/>
    <n v="0.7"/>
    <n v="0.98"/>
    <n v="0.82"/>
    <n v="0.79"/>
    <n v="0.3"/>
    <n v="65"/>
    <n v="64"/>
    <n v="4.3"/>
    <n v="1"/>
    <n v="0.85"/>
    <n v="0.98"/>
    <n v="0.15"/>
    <n v="0.72"/>
    <n v="0.71"/>
    <x v="2"/>
    <x v="2"/>
    <x v="1"/>
    <x v="2"/>
    <x v="1"/>
    <x v="2"/>
    <x v="2"/>
  </r>
  <r>
    <s v="/krs/591"/>
    <n v="591"/>
    <s v="591 итог 4Г, 4Д"/>
    <x v="5"/>
    <x v="0"/>
    <x v="67"/>
    <d v="2018-04-26T00:00:00"/>
    <x v="0"/>
    <x v="0"/>
    <s v="Всероссийская проверочная работа по окружающему мсиру"/>
    <n v="116"/>
    <n v="1580"/>
    <n v="1696"/>
    <n v="7.0000000000000007E-2"/>
    <n v="53"/>
    <m/>
    <n v="0"/>
    <n v="26"/>
    <n v="1.6"/>
    <n v="1"/>
    <n v="0.41"/>
    <n v="7.0000000000000007E-2"/>
    <n v="-1.04"/>
    <n v="0"/>
    <n v="0"/>
    <n v="0.93"/>
    <n v="0"/>
    <n v="0"/>
    <n v="0"/>
    <n v="0"/>
    <n v="0"/>
    <n v="0"/>
    <n v="1"/>
    <n v="0.06"/>
    <n v="0"/>
    <x v="1"/>
    <x v="3"/>
    <x v="2"/>
    <x v="1"/>
    <x v="2"/>
    <x v="3"/>
    <x v="2"/>
  </r>
  <r>
    <s v="/krs/592"/>
    <n v="592"/>
    <s v="592 итог 11А"/>
    <x v="4"/>
    <x v="6"/>
    <x v="13"/>
    <d v="2018-05-02T20:08:50"/>
    <x v="13"/>
    <x v="1"/>
    <m/>
    <n v="169"/>
    <n v="51"/>
    <n v="220"/>
    <n v="0.77"/>
    <n v="11"/>
    <m/>
    <n v="11"/>
    <n v="11"/>
    <n v="4"/>
    <n v="4"/>
    <n v="0.8"/>
    <n v="0.77"/>
    <n v="1"/>
    <n v="0.93"/>
    <n v="1"/>
    <n v="0.23"/>
    <n v="11"/>
    <n v="10"/>
    <n v="4.0999999999999996"/>
    <n v="1"/>
    <n v="0.83"/>
    <n v="0.91"/>
    <n v="0.17"/>
    <n v="0.79"/>
    <n v="0.68"/>
    <x v="2"/>
    <x v="2"/>
    <x v="1"/>
    <x v="3"/>
    <x v="2"/>
    <x v="1"/>
    <x v="1"/>
  </r>
  <r>
    <s v="/krs/598"/>
    <n v="598"/>
    <s v="598 итог 8Б"/>
    <x v="4"/>
    <x v="5"/>
    <x v="8"/>
    <d v="2018-05-03T00:35:50"/>
    <x v="36"/>
    <x v="1"/>
    <m/>
    <n v="180"/>
    <n v="90"/>
    <n v="270"/>
    <n v="0.67"/>
    <n v="10"/>
    <m/>
    <n v="5"/>
    <n v="10"/>
    <n v="3.4"/>
    <n v="3.4"/>
    <n v="0.68"/>
    <n v="0.67"/>
    <n v="0.9"/>
    <n v="0.84"/>
    <n v="0.5"/>
    <n v="0.33"/>
    <n v="10"/>
    <n v="6"/>
    <n v="4"/>
    <n v="1"/>
    <n v="0.8"/>
    <n v="0.6"/>
    <n v="0.2"/>
    <n v="0.83"/>
    <n v="0.28000000000000003"/>
    <x v="2"/>
    <x v="1"/>
    <x v="1"/>
    <x v="2"/>
    <x v="1"/>
    <x v="2"/>
    <x v="2"/>
  </r>
  <r>
    <s v="/krs/601"/>
    <n v="601"/>
    <s v="метапредметная"/>
    <x v="4"/>
    <x v="16"/>
    <x v="40"/>
    <d v="2018-05-03T11:39:02"/>
    <x v="40"/>
    <x v="0"/>
    <m/>
    <n v="1973"/>
    <n v="1043"/>
    <n v="3016"/>
    <n v="0.65"/>
    <n v="116"/>
    <m/>
    <n v="36"/>
    <n v="116"/>
    <n v="3.3"/>
    <n v="3.3"/>
    <n v="0.65"/>
    <n v="0.65"/>
    <n v="0.91"/>
    <n v="0"/>
    <n v="0.31"/>
    <n v="0.35"/>
    <n v="0"/>
    <n v="0"/>
    <n v="0"/>
    <n v="0"/>
    <n v="0"/>
    <n v="0"/>
    <n v="1"/>
    <n v="0.6"/>
    <n v="0"/>
    <x v="2"/>
    <x v="1"/>
    <x v="1"/>
    <x v="1"/>
    <x v="1"/>
    <x v="3"/>
    <x v="2"/>
  </r>
  <r>
    <s v="/krs/602"/>
    <n v="602"/>
    <s v="602 итог 8В, 8Г"/>
    <x v="4"/>
    <x v="5"/>
    <x v="68"/>
    <d v="2018-05-04T07:56:09"/>
    <x v="38"/>
    <x v="0"/>
    <s v="скопирована из ид: 598 № 598 итог 8Б"/>
    <n v="450"/>
    <n v="144"/>
    <n v="594"/>
    <n v="0.76"/>
    <n v="22"/>
    <m/>
    <n v="16"/>
    <n v="22"/>
    <n v="3.8"/>
    <n v="3.9"/>
    <n v="0.77"/>
    <n v="0.76"/>
    <n v="1"/>
    <n v="0.89"/>
    <n v="0.73"/>
    <n v="0.24"/>
    <n v="20"/>
    <n v="16"/>
    <n v="4.3"/>
    <n v="1"/>
    <n v="0.85"/>
    <n v="0.8"/>
    <n v="0.15"/>
    <n v="0.76"/>
    <n v="0.75"/>
    <x v="2"/>
    <x v="2"/>
    <x v="1"/>
    <x v="3"/>
    <x v="2"/>
    <x v="1"/>
    <x v="2"/>
  </r>
  <r>
    <s v="/krs/603"/>
    <n v="603"/>
    <s v="603 итог 7А, 7В физ-мат, 7Г"/>
    <x v="4"/>
    <x v="5"/>
    <x v="33"/>
    <d v="2018-05-04T07:51:05"/>
    <x v="38"/>
    <x v="0"/>
    <m/>
    <n v="900"/>
    <n v="444"/>
    <n v="1344"/>
    <n v="0.67"/>
    <n v="42"/>
    <m/>
    <n v="21"/>
    <n v="41"/>
    <n v="3.5"/>
    <n v="3.4"/>
    <n v="0.7"/>
    <n v="0.67"/>
    <n v="0.9"/>
    <n v="0.87"/>
    <n v="0.51"/>
    <n v="0.33"/>
    <n v="40"/>
    <n v="23"/>
    <n v="3.9"/>
    <n v="1"/>
    <n v="0.77"/>
    <n v="0.56999999999999995"/>
    <n v="0.23"/>
    <n v="0.67"/>
    <n v="0"/>
    <x v="2"/>
    <x v="1"/>
    <x v="1"/>
    <x v="3"/>
    <x v="2"/>
    <x v="2"/>
    <x v="2"/>
  </r>
  <r>
    <s v="/krs/604"/>
    <n v="604"/>
    <s v="2"/>
    <x v="4"/>
    <x v="6"/>
    <x v="59"/>
    <d v="2018-05-16T00:00:00"/>
    <x v="6"/>
    <x v="1"/>
    <s v="Итоговая контрольная работа по истории для учащихся базовой группы 10 классов"/>
    <n v="761"/>
    <n v="119"/>
    <n v="880"/>
    <n v="0.86"/>
    <n v="44"/>
    <m/>
    <n v="39"/>
    <n v="44"/>
    <n v="4.5"/>
    <n v="4.3"/>
    <n v="0.86"/>
    <n v="0.86"/>
    <n v="0.95"/>
    <n v="1.0900000000000001"/>
    <n v="0.89"/>
    <n v="0.14000000000000001"/>
    <n v="24"/>
    <n v="15"/>
    <n v="3.9"/>
    <n v="1"/>
    <n v="0.79"/>
    <n v="0.63"/>
    <n v="0.21"/>
    <n v="0.87"/>
    <n v="0"/>
    <x v="2"/>
    <x v="2"/>
    <x v="1"/>
    <x v="1"/>
    <x v="1"/>
    <x v="3"/>
    <x v="1"/>
  </r>
  <r>
    <s v="/krs/605"/>
    <n v="605"/>
    <s v="ИКР"/>
    <x v="4"/>
    <x v="12"/>
    <x v="50"/>
    <d v="2018-05-04T00:00:00"/>
    <x v="1"/>
    <x v="1"/>
    <m/>
    <n v="1148"/>
    <n v="634"/>
    <n v="1782"/>
    <n v="0.64"/>
    <n v="66"/>
    <m/>
    <n v="32"/>
    <n v="66"/>
    <n v="3.3"/>
    <n v="3.3"/>
    <n v="0.66"/>
    <n v="0.64"/>
    <n v="0.76"/>
    <n v="0.77"/>
    <n v="0.48"/>
    <n v="0.36"/>
    <n v="65"/>
    <n v="48"/>
    <n v="4.0999999999999996"/>
    <n v="1"/>
    <n v="0.83"/>
    <n v="0.74"/>
    <n v="0.17"/>
    <n v="0.68"/>
    <n v="0.54"/>
    <x v="2"/>
    <x v="1"/>
    <x v="1"/>
    <x v="2"/>
    <x v="1"/>
    <x v="2"/>
    <x v="2"/>
  </r>
  <r>
    <s v="/krs/607"/>
    <n v="607"/>
    <s v="607 особ 3А, 3В, 3Г, 3Д"/>
    <x v="5"/>
    <x v="0"/>
    <x v="69"/>
    <d v="2018-04-25T00:00:00"/>
    <x v="0"/>
    <x v="0"/>
    <s v="Региональная диагностическая работа"/>
    <n v="1352"/>
    <n v="892"/>
    <n v="2244"/>
    <n v="0.6"/>
    <n v="132"/>
    <m/>
    <n v="69"/>
    <n v="109"/>
    <n v="3.5"/>
    <n v="3.2"/>
    <n v="0.78"/>
    <n v="0.6"/>
    <n v="0.76"/>
    <n v="0"/>
    <n v="0.63"/>
    <n v="0.4"/>
    <n v="0"/>
    <n v="0"/>
    <n v="0"/>
    <n v="0"/>
    <n v="0"/>
    <n v="0"/>
    <n v="1"/>
    <n v="0.71"/>
    <n v="0.4"/>
    <x v="1"/>
    <x v="1"/>
    <x v="1"/>
    <x v="1"/>
    <x v="1"/>
    <x v="3"/>
    <x v="2"/>
  </r>
  <r>
    <s v="/krs/608"/>
    <n v="608"/>
    <s v="метапредметная"/>
    <x v="4"/>
    <x v="16"/>
    <x v="52"/>
    <d v="2018-05-04T00:00:00"/>
    <x v="1"/>
    <x v="1"/>
    <s v="Комплексная метапредметная работа"/>
    <n v="1191"/>
    <n v="807"/>
    <n v="1998"/>
    <n v="0.6"/>
    <n v="111"/>
    <m/>
    <n v="44"/>
    <n v="111"/>
    <n v="3.1"/>
    <n v="3.3"/>
    <n v="0.66"/>
    <n v="0.6"/>
    <n v="0.86"/>
    <n v="0"/>
    <n v="0.4"/>
    <n v="0.4"/>
    <n v="0"/>
    <n v="0"/>
    <n v="0"/>
    <n v="0"/>
    <n v="0"/>
    <n v="0"/>
    <n v="1"/>
    <n v="0.71"/>
    <n v="0.53"/>
    <x v="2"/>
    <x v="1"/>
    <x v="1"/>
    <x v="1"/>
    <x v="1"/>
    <x v="3"/>
    <x v="2"/>
  </r>
  <r>
    <s v="/krs/609"/>
    <n v="609"/>
    <s v="04"/>
    <x v="4"/>
    <x v="6"/>
    <x v="13"/>
    <d v="2018-05-22T00:00:00"/>
    <x v="6"/>
    <x v="1"/>
    <s v="Итоговая контрольная работа для профильной группы 11 класса"/>
    <n v="457"/>
    <n v="189"/>
    <n v="646"/>
    <n v="0.71"/>
    <n v="19"/>
    <m/>
    <n v="13"/>
    <n v="19"/>
    <n v="3.6"/>
    <n v="3.6"/>
    <n v="0.73"/>
    <n v="0.71"/>
    <n v="0.95"/>
    <n v="0.83"/>
    <n v="0.68"/>
    <n v="0.28999999999999998"/>
    <n v="19"/>
    <n v="19"/>
    <n v="4.3"/>
    <n v="1"/>
    <n v="0.86"/>
    <n v="1"/>
    <n v="0.14000000000000001"/>
    <n v="0.7"/>
    <n v="0.72"/>
    <x v="2"/>
    <x v="2"/>
    <x v="1"/>
    <x v="2"/>
    <x v="1"/>
    <x v="2"/>
    <x v="2"/>
  </r>
  <r>
    <s v="/krs/613"/>
    <n v="613"/>
    <s v="613 итог 6А, 6Б, 6В, 6Г, 6Д"/>
    <x v="4"/>
    <x v="6"/>
    <x v="40"/>
    <d v="2018-05-07T12:28:20"/>
    <x v="26"/>
    <x v="0"/>
    <m/>
    <n v="1231"/>
    <n v="721"/>
    <n v="1952"/>
    <n v="0.63"/>
    <n v="122"/>
    <m/>
    <n v="72"/>
    <n v="118"/>
    <n v="3.3"/>
    <n v="3.5"/>
    <n v="0.73"/>
    <n v="0.63"/>
    <n v="0.81"/>
    <n v="0.71"/>
    <n v="0.61"/>
    <n v="0.37"/>
    <n v="116"/>
    <n v="109"/>
    <n v="4.5"/>
    <n v="1"/>
    <n v="0.89"/>
    <n v="0.94"/>
    <n v="0.11"/>
    <n v="0.65"/>
    <n v="0.55000000000000004"/>
    <x v="1"/>
    <x v="1"/>
    <x v="1"/>
    <x v="2"/>
    <x v="1"/>
    <x v="2"/>
    <x v="2"/>
  </r>
  <r>
    <s v="/krs/614"/>
    <n v="614"/>
    <s v="614 итог 7А, 7Б, 7В физ-мат, 7Г"/>
    <x v="4"/>
    <x v="9"/>
    <x v="58"/>
    <d v="2018-05-07T12:43:01"/>
    <x v="26"/>
    <x v="0"/>
    <m/>
    <m/>
    <m/>
    <m/>
    <m/>
    <m/>
    <m/>
    <m/>
    <m/>
    <m/>
    <m/>
    <m/>
    <m/>
    <m/>
    <m/>
    <m/>
    <m/>
    <m/>
    <m/>
    <m/>
    <m/>
    <m/>
    <m/>
    <m/>
    <m/>
    <m/>
    <x v="0"/>
    <x v="0"/>
    <x v="0"/>
    <x v="0"/>
    <x v="0"/>
    <x v="0"/>
    <x v="0"/>
  </r>
  <r>
    <s v="/krs/616"/>
    <n v="616"/>
    <s v="10"/>
    <x v="3"/>
    <x v="2"/>
    <x v="70"/>
    <d v="2018-04-20T00:00:00"/>
    <x v="41"/>
    <x v="0"/>
    <s v="Региональная диагностическая работа"/>
    <n v="447"/>
    <n v="93"/>
    <n v="540"/>
    <n v="0.83"/>
    <n v="27"/>
    <m/>
    <n v="24"/>
    <n v="27"/>
    <n v="4.2"/>
    <n v="4"/>
    <n v="0.8"/>
    <n v="0.83"/>
    <n v="1"/>
    <n v="0"/>
    <n v="0.89"/>
    <n v="0.17"/>
    <n v="0"/>
    <n v="0"/>
    <n v="0"/>
    <n v="0"/>
    <n v="0"/>
    <n v="0"/>
    <n v="1"/>
    <n v="0.83"/>
    <n v="0"/>
    <x v="2"/>
    <x v="2"/>
    <x v="1"/>
    <x v="1"/>
    <x v="1"/>
    <x v="3"/>
    <x v="2"/>
  </r>
  <r>
    <s v="/krs/617"/>
    <n v="617"/>
    <s v="617 итог 10Б физ-мат, 10Б хим-био"/>
    <x v="4"/>
    <x v="9"/>
    <x v="27"/>
    <d v="2018-05-18T00:00:00"/>
    <x v="6"/>
    <x v="1"/>
    <s v="итоговая контрольная работа для базового уровня 10 класс"/>
    <n v="529"/>
    <n v="101"/>
    <n v="630"/>
    <n v="0.84"/>
    <n v="30"/>
    <m/>
    <n v="28"/>
    <n v="30"/>
    <n v="4.3"/>
    <n v="4.2"/>
    <n v="0.85"/>
    <n v="0.84"/>
    <n v="0.97"/>
    <n v="1.0900000000000001"/>
    <n v="0.93"/>
    <n v="0.16"/>
    <n v="16"/>
    <n v="7"/>
    <n v="3.8"/>
    <n v="1"/>
    <n v="0.77"/>
    <n v="0.44"/>
    <n v="0.23"/>
    <n v="0.82"/>
    <n v="0.9"/>
    <x v="2"/>
    <x v="2"/>
    <x v="1"/>
    <x v="1"/>
    <x v="1"/>
    <x v="3"/>
    <x v="1"/>
  </r>
  <r>
    <s v="/krs/618"/>
    <n v="618"/>
    <s v="618 адм 3А, 3Б"/>
    <x v="3"/>
    <x v="2"/>
    <x v="71"/>
    <d v="2018-04-20T00:00:00"/>
    <x v="42"/>
    <x v="0"/>
    <s v="Региональная диагностическая работа_x000a_скопирована из ид: 616 № 10"/>
    <n v="416"/>
    <n v="88"/>
    <n v="504"/>
    <n v="0.83"/>
    <n v="24"/>
    <m/>
    <n v="21"/>
    <n v="24"/>
    <n v="4.2"/>
    <n v="3.9"/>
    <n v="0.78"/>
    <n v="0.83"/>
    <n v="1"/>
    <n v="0"/>
    <n v="0.88"/>
    <n v="0.17"/>
    <n v="0"/>
    <n v="0"/>
    <n v="0"/>
    <n v="0"/>
    <n v="0"/>
    <n v="0"/>
    <n v="1"/>
    <n v="0.84"/>
    <n v="0"/>
    <x v="2"/>
    <x v="2"/>
    <x v="1"/>
    <x v="1"/>
    <x v="1"/>
    <x v="3"/>
    <x v="2"/>
  </r>
  <r>
    <s v="/krs/619"/>
    <n v="619"/>
    <s v="619 адм 3А"/>
    <x v="3"/>
    <x v="2"/>
    <x v="72"/>
    <d v="2018-05-08T14:16:41"/>
    <x v="42"/>
    <x v="0"/>
    <s v="Региональная диагностическая работа_x000a_скопирована из ид: 616 № 10_x000a_скопирована из ид: 618 № 618 адм 3А, 3Б"/>
    <m/>
    <m/>
    <m/>
    <m/>
    <m/>
    <m/>
    <m/>
    <m/>
    <m/>
    <m/>
    <m/>
    <m/>
    <m/>
    <m/>
    <m/>
    <m/>
    <m/>
    <m/>
    <m/>
    <m/>
    <m/>
    <m/>
    <m/>
    <m/>
    <m/>
    <x v="0"/>
    <x v="0"/>
    <x v="0"/>
    <x v="0"/>
    <x v="0"/>
    <x v="0"/>
    <x v="0"/>
  </r>
  <r>
    <s v="/krs/620"/>
    <n v="620"/>
    <s v="620 особ 3А, 3Б, 3В, 3Г, 3Д"/>
    <x v="5"/>
    <x v="1"/>
    <x v="73"/>
    <d v="2018-04-11T00:00:00"/>
    <x v="35"/>
    <x v="0"/>
    <s v="Региональная диагностическая работа"/>
    <n v="1310"/>
    <n v="562"/>
    <n v="1872"/>
    <n v="0.7"/>
    <n v="72"/>
    <m/>
    <n v="39"/>
    <n v="72"/>
    <n v="3.6"/>
    <n v="3.6"/>
    <n v="0.73"/>
    <n v="0.7"/>
    <n v="0.96"/>
    <n v="0"/>
    <n v="0.54"/>
    <n v="0.3"/>
    <n v="0"/>
    <n v="0"/>
    <n v="0"/>
    <n v="0"/>
    <n v="0"/>
    <n v="0"/>
    <n v="1"/>
    <n v="0.75"/>
    <n v="0"/>
    <x v="2"/>
    <x v="2"/>
    <x v="1"/>
    <x v="1"/>
    <x v="1"/>
    <x v="3"/>
    <x v="2"/>
  </r>
  <r>
    <s v="/krs/622"/>
    <n v="622"/>
    <s v="10"/>
    <x v="4"/>
    <x v="2"/>
    <x v="52"/>
    <d v="2018-05-08T00:00:00"/>
    <x v="34"/>
    <x v="0"/>
    <m/>
    <n v="1060"/>
    <n v="494"/>
    <n v="1554"/>
    <n v="0.68"/>
    <n v="111"/>
    <m/>
    <n v="70"/>
    <n v="110"/>
    <n v="3.7"/>
    <n v="3.6"/>
    <n v="0.73"/>
    <n v="0.68"/>
    <n v="0.89"/>
    <n v="0"/>
    <n v="0.64"/>
    <n v="0.32"/>
    <n v="0"/>
    <n v="0"/>
    <n v="0"/>
    <n v="0"/>
    <n v="0"/>
    <n v="0"/>
    <n v="1"/>
    <n v="0.75"/>
    <n v="0.51"/>
    <x v="2"/>
    <x v="1"/>
    <x v="1"/>
    <x v="1"/>
    <x v="1"/>
    <x v="3"/>
    <x v="2"/>
  </r>
  <r>
    <s v="/krs/623"/>
    <n v="623"/>
    <s v="623 итог 7А, 7Б, 7В физ-мат, 7Г"/>
    <x v="4"/>
    <x v="9"/>
    <x v="58"/>
    <d v="2018-05-10T16:38:38"/>
    <x v="26"/>
    <x v="0"/>
    <s v="скопирована из ид: 614 № 614 итог 7А, 7Б, 7В физ-мат, 7Г"/>
    <m/>
    <m/>
    <m/>
    <m/>
    <m/>
    <m/>
    <m/>
    <m/>
    <m/>
    <m/>
    <m/>
    <m/>
    <m/>
    <m/>
    <m/>
    <m/>
    <m/>
    <m/>
    <m/>
    <m/>
    <m/>
    <m/>
    <m/>
    <m/>
    <m/>
    <x v="0"/>
    <x v="0"/>
    <x v="0"/>
    <x v="0"/>
    <x v="0"/>
    <x v="0"/>
    <x v="0"/>
  </r>
  <r>
    <s v="/krs/626"/>
    <n v="626"/>
    <s v="Итоговая"/>
    <x v="4"/>
    <x v="2"/>
    <x v="6"/>
    <d v="2018-05-07T00:00:00"/>
    <x v="32"/>
    <x v="1"/>
    <s v="Итоговая контрольная работа"/>
    <n v="1628"/>
    <n v="672"/>
    <n v="2300"/>
    <n v="0.71"/>
    <n v="115"/>
    <m/>
    <n v="70"/>
    <n v="115"/>
    <n v="3.7"/>
    <n v="3.7"/>
    <n v="0.74"/>
    <n v="0.71"/>
    <n v="0.9"/>
    <n v="0.9"/>
    <n v="0.61"/>
    <n v="0.28999999999999998"/>
    <n v="84"/>
    <n v="51"/>
    <n v="4"/>
    <n v="1"/>
    <n v="0.79"/>
    <n v="0.61"/>
    <n v="0.21"/>
    <n v="0.83"/>
    <n v="0.43"/>
    <x v="2"/>
    <x v="2"/>
    <x v="1"/>
    <x v="3"/>
    <x v="2"/>
    <x v="1"/>
    <x v="2"/>
  </r>
  <r>
    <s v="/krs/627"/>
    <n v="627"/>
    <s v="6"/>
    <x v="4"/>
    <x v="5"/>
    <x v="1"/>
    <d v="2018-05-03T00:00:00"/>
    <x v="15"/>
    <x v="0"/>
    <m/>
    <n v="343"/>
    <n v="73"/>
    <n v="416"/>
    <n v="0.82"/>
    <n v="16"/>
    <m/>
    <n v="15"/>
    <n v="16"/>
    <n v="4"/>
    <n v="4.4000000000000004"/>
    <n v="0.88"/>
    <n v="0.82"/>
    <n v="1"/>
    <n v="0.96"/>
    <n v="0.94"/>
    <n v="0.18"/>
    <n v="16"/>
    <n v="16"/>
    <n v="4.3"/>
    <n v="1"/>
    <n v="0.85"/>
    <n v="1"/>
    <n v="0.15"/>
    <n v="0.77"/>
    <n v="0"/>
    <x v="2"/>
    <x v="2"/>
    <x v="1"/>
    <x v="1"/>
    <x v="2"/>
    <x v="3"/>
    <x v="1"/>
  </r>
  <r>
    <s v="/krs/628"/>
    <n v="628"/>
    <s v="5"/>
    <x v="4"/>
    <x v="5"/>
    <x v="15"/>
    <d v="2018-05-03T00:00:00"/>
    <x v="15"/>
    <x v="0"/>
    <m/>
    <n v="231"/>
    <n v="55"/>
    <n v="286"/>
    <n v="0.81"/>
    <n v="11"/>
    <m/>
    <n v="10"/>
    <n v="11"/>
    <n v="4"/>
    <n v="4.3"/>
    <n v="0.85"/>
    <n v="0.81"/>
    <n v="0.91"/>
    <n v="0.94"/>
    <n v="0.91"/>
    <n v="0.19"/>
    <n v="10"/>
    <n v="9"/>
    <n v="4.3"/>
    <n v="1"/>
    <n v="0.86"/>
    <n v="0.9"/>
    <n v="0.14000000000000001"/>
    <n v="0.81"/>
    <n v="0"/>
    <x v="2"/>
    <x v="2"/>
    <x v="1"/>
    <x v="1"/>
    <x v="2"/>
    <x v="1"/>
    <x v="1"/>
  </r>
  <r>
    <s v="/krs/629"/>
    <n v="629"/>
    <s v="9"/>
    <x v="4"/>
    <x v="5"/>
    <x v="18"/>
    <d v="2018-05-11T17:51:13"/>
    <x v="15"/>
    <x v="0"/>
    <m/>
    <n v="553"/>
    <n v="407"/>
    <n v="960"/>
    <n v="0.57999999999999996"/>
    <n v="40"/>
    <m/>
    <n v="20"/>
    <n v="33"/>
    <n v="3.6"/>
    <n v="3.1"/>
    <n v="0.76"/>
    <n v="0.57999999999999996"/>
    <n v="0.73"/>
    <n v="0.73"/>
    <n v="0.61"/>
    <n v="0.42"/>
    <n v="24"/>
    <n v="15"/>
    <n v="4"/>
    <n v="1"/>
    <n v="0.8"/>
    <n v="0.63"/>
    <n v="0.2"/>
    <n v="0.46"/>
    <n v="0.73"/>
    <x v="1"/>
    <x v="3"/>
    <x v="1"/>
    <x v="2"/>
    <x v="2"/>
    <x v="2"/>
    <x v="2"/>
  </r>
  <r>
    <s v="/krs/630"/>
    <n v="630"/>
    <s v="9"/>
    <x v="4"/>
    <x v="2"/>
    <x v="2"/>
    <d v="2018-05-15T00:00:00"/>
    <x v="2"/>
    <x v="0"/>
    <m/>
    <n v="499"/>
    <n v="151"/>
    <n v="650"/>
    <n v="0.77"/>
    <n v="25"/>
    <m/>
    <n v="18"/>
    <n v="25"/>
    <n v="3.9"/>
    <n v="3.9"/>
    <n v="0.78"/>
    <n v="0.77"/>
    <n v="1"/>
    <n v="0.92"/>
    <n v="0.72"/>
    <n v="0.23"/>
    <n v="24"/>
    <n v="19"/>
    <n v="4.2"/>
    <n v="1"/>
    <n v="0.84"/>
    <n v="0.79"/>
    <n v="0.16"/>
    <n v="0.83"/>
    <n v="0.56999999999999995"/>
    <x v="2"/>
    <x v="2"/>
    <x v="1"/>
    <x v="3"/>
    <x v="2"/>
    <x v="1"/>
    <x v="1"/>
  </r>
  <r>
    <s v="/krs/631"/>
    <n v="631"/>
    <s v="631 итог 8Д"/>
    <x v="4"/>
    <x v="2"/>
    <x v="10"/>
    <d v="2018-05-12T12:56:50"/>
    <x v="32"/>
    <x v="0"/>
    <s v="Итоговая контрольная работа_x000a_скопирована из ид: 626 № Итоговая АЛГЕБРА"/>
    <n v="166"/>
    <n v="120"/>
    <n v="286"/>
    <n v="0.57999999999999996"/>
    <n v="22"/>
    <m/>
    <n v="9"/>
    <n v="20"/>
    <n v="3.1"/>
    <n v="3.2"/>
    <n v="0.71"/>
    <n v="0.57999999999999996"/>
    <n v="0.9"/>
    <n v="0"/>
    <n v="0.45"/>
    <n v="0.42"/>
    <n v="0"/>
    <n v="0"/>
    <n v="0"/>
    <n v="0"/>
    <n v="0"/>
    <n v="0"/>
    <n v="1"/>
    <n v="0.7"/>
    <n v="0.32"/>
    <x v="1"/>
    <x v="3"/>
    <x v="1"/>
    <x v="1"/>
    <x v="1"/>
    <x v="3"/>
    <x v="2"/>
  </r>
  <r>
    <s v="/krs/632"/>
    <n v="632"/>
    <s v="632 итог 8Б, 8В, 8Г, 8Д"/>
    <x v="4"/>
    <x v="5"/>
    <x v="6"/>
    <d v="2018-05-13T11:04:58"/>
    <x v="5"/>
    <x v="1"/>
    <s v="скопирована из ид: 598 № 598 итог 8Б_x000a_скопирована из ид: 602 № 602 итог 8В, 8Г"/>
    <n v="1225"/>
    <n v="395"/>
    <n v="1620"/>
    <n v="0.76"/>
    <n v="60"/>
    <m/>
    <n v="42"/>
    <n v="60"/>
    <n v="3.8"/>
    <n v="3.8"/>
    <n v="0.77"/>
    <n v="0.76"/>
    <n v="0.95"/>
    <n v="0.88"/>
    <n v="0.7"/>
    <n v="0.24"/>
    <n v="44"/>
    <n v="39"/>
    <n v="4.3"/>
    <n v="1"/>
    <n v="0.86"/>
    <n v="0.89"/>
    <n v="0.14000000000000001"/>
    <n v="0.77"/>
    <n v="0.69"/>
    <x v="2"/>
    <x v="2"/>
    <x v="1"/>
    <x v="3"/>
    <x v="1"/>
    <x v="2"/>
    <x v="2"/>
  </r>
  <r>
    <s v="/krs/634"/>
    <n v="634"/>
    <s v="Тест ЕГЭ "/>
    <x v="1"/>
    <x v="1"/>
    <x v="1"/>
    <d v="2018-05-14T20:36:20"/>
    <x v="1"/>
    <x v="1"/>
    <s v="Решение демоверсии теста ЕГЭ-2018_x000a_"/>
    <n v="582"/>
    <n v="330"/>
    <n v="912"/>
    <n v="0.64"/>
    <n v="16"/>
    <m/>
    <n v="6"/>
    <n v="16"/>
    <n v="3.1"/>
    <n v="3.2"/>
    <n v="0.64"/>
    <n v="0.64"/>
    <n v="0.81"/>
    <n v="0.9"/>
    <n v="0.38"/>
    <n v="0.36"/>
    <n v="16"/>
    <n v="9"/>
    <n v="3.6"/>
    <n v="1"/>
    <n v="0.71"/>
    <n v="0.56000000000000005"/>
    <n v="0.28999999999999998"/>
    <n v="0.81"/>
    <n v="0.57999999999999996"/>
    <x v="2"/>
    <x v="1"/>
    <x v="1"/>
    <x v="3"/>
    <x v="1"/>
    <x v="1"/>
    <x v="2"/>
  </r>
  <r>
    <s v="/krs/635"/>
    <n v="635"/>
    <s v="635 итог 11А"/>
    <x v="4"/>
    <x v="5"/>
    <x v="13"/>
    <d v="2018-05-14T21:54:51"/>
    <x v="36"/>
    <x v="1"/>
    <s v="скопирована из ид: 594 № 594 итог 11А"/>
    <n v="360"/>
    <n v="56"/>
    <n v="416"/>
    <n v="0.87"/>
    <n v="16"/>
    <m/>
    <n v="14"/>
    <n v="16"/>
    <n v="4.3"/>
    <n v="4.3"/>
    <n v="0.85"/>
    <n v="0.87"/>
    <n v="1"/>
    <n v="1.1000000000000001"/>
    <n v="0.88"/>
    <n v="0.13"/>
    <n v="16"/>
    <n v="11"/>
    <n v="4"/>
    <n v="1"/>
    <n v="0.79"/>
    <n v="0.69"/>
    <n v="0.21"/>
    <n v="0.87"/>
    <n v="0"/>
    <x v="2"/>
    <x v="2"/>
    <x v="1"/>
    <x v="1"/>
    <x v="1"/>
    <x v="3"/>
    <x v="1"/>
  </r>
  <r>
    <s v="/krs/636"/>
    <n v="636"/>
    <s v="636 итог 11В хим-био"/>
    <x v="4"/>
    <x v="5"/>
    <x v="15"/>
    <d v="2018-05-14T22:45:43"/>
    <x v="36"/>
    <x v="1"/>
    <s v="скопирована из ид: 594 № 594 итог 11А_x000a_скопирована из ид: 635 № 635 итог 11А"/>
    <n v="215"/>
    <n v="19"/>
    <n v="234"/>
    <n v="0.92"/>
    <n v="9"/>
    <m/>
    <n v="9"/>
    <n v="9"/>
    <n v="4.5999999999999996"/>
    <n v="4.5999999999999996"/>
    <n v="0.91"/>
    <n v="0.92"/>
    <n v="1"/>
    <n v="1.1200000000000001"/>
    <n v="1"/>
    <n v="0.08"/>
    <n v="9"/>
    <n v="8"/>
    <n v="4.0999999999999996"/>
    <n v="1"/>
    <n v="0.82"/>
    <n v="0.89"/>
    <n v="0.18"/>
    <n v="0.92"/>
    <n v="0"/>
    <x v="2"/>
    <x v="2"/>
    <x v="1"/>
    <x v="1"/>
    <x v="1"/>
    <x v="3"/>
    <x v="1"/>
  </r>
  <r>
    <s v="/krs/639"/>
    <n v="639"/>
    <s v="639 особ 4Б, 4В"/>
    <x v="5"/>
    <x v="2"/>
    <x v="74"/>
    <d v="2018-04-24T00:00:00"/>
    <x v="41"/>
    <x v="0"/>
    <s v="Всероссийская проверочная работа"/>
    <n v="701"/>
    <n v="199"/>
    <n v="900"/>
    <n v="0.78"/>
    <n v="50"/>
    <m/>
    <n v="0"/>
    <n v="48"/>
    <n v="4"/>
    <n v="1"/>
    <n v="0.21"/>
    <n v="0.78"/>
    <n v="-0.04"/>
    <n v="0"/>
    <n v="0"/>
    <n v="0.22"/>
    <n v="0"/>
    <n v="0"/>
    <n v="0"/>
    <n v="0"/>
    <n v="0"/>
    <n v="0"/>
    <n v="1"/>
    <n v="0.81"/>
    <n v="0.69"/>
    <x v="1"/>
    <x v="2"/>
    <x v="2"/>
    <x v="1"/>
    <x v="2"/>
    <x v="3"/>
    <x v="2"/>
  </r>
  <r>
    <s v="/krs/642"/>
    <n v="642"/>
    <s v="6"/>
    <x v="4"/>
    <x v="7"/>
    <x v="15"/>
    <d v="2018-05-17T00:00:00"/>
    <x v="10"/>
    <x v="0"/>
    <m/>
    <n v="265"/>
    <n v="95"/>
    <n v="360"/>
    <n v="0.74"/>
    <n v="20"/>
    <m/>
    <n v="14"/>
    <n v="20"/>
    <n v="3.8"/>
    <n v="3.8"/>
    <n v="0.76"/>
    <n v="0.74"/>
    <n v="0.85"/>
    <n v="0.9"/>
    <n v="0.7"/>
    <n v="0.26"/>
    <n v="19"/>
    <n v="14"/>
    <n v="4.0999999999999996"/>
    <n v="1"/>
    <n v="0.82"/>
    <n v="0.74"/>
    <n v="0.18"/>
    <n v="0.95"/>
    <n v="0.75"/>
    <x v="2"/>
    <x v="2"/>
    <x v="1"/>
    <x v="3"/>
    <x v="2"/>
    <x v="1"/>
    <x v="2"/>
  </r>
  <r>
    <s v="/krs/643"/>
    <n v="643"/>
    <s v="643 итог 4Б, 4В"/>
    <x v="4"/>
    <x v="2"/>
    <x v="74"/>
    <d v="2018-05-16T13:09:26"/>
    <x v="41"/>
    <x v="0"/>
    <s v="Административная итоговая контрольная работа"/>
    <n v="732"/>
    <n v="168"/>
    <n v="900"/>
    <n v="0.81"/>
    <n v="50"/>
    <m/>
    <n v="40"/>
    <n v="48"/>
    <n v="4.0999999999999996"/>
    <n v="4"/>
    <n v="0.84"/>
    <n v="0.81"/>
    <n v="0.92"/>
    <n v="0"/>
    <n v="0.83"/>
    <n v="0.19"/>
    <n v="0"/>
    <n v="0"/>
    <n v="0"/>
    <n v="0"/>
    <n v="0"/>
    <n v="0"/>
    <n v="1"/>
    <n v="0.81"/>
    <n v="0"/>
    <x v="2"/>
    <x v="2"/>
    <x v="1"/>
    <x v="1"/>
    <x v="1"/>
    <x v="3"/>
    <x v="2"/>
  </r>
  <r>
    <s v="/krs/644"/>
    <n v="644"/>
    <s v="644 итог 4А, 4Г"/>
    <x v="4"/>
    <x v="2"/>
    <x v="75"/>
    <d v="2018-05-16T16:03:22"/>
    <x v="43"/>
    <x v="0"/>
    <s v="Административная итоговая контрольная работа_x000a_"/>
    <n v="728"/>
    <n v="208"/>
    <n v="936"/>
    <n v="0.78"/>
    <n v="52"/>
    <m/>
    <n v="38"/>
    <n v="50"/>
    <n v="4.0999999999999996"/>
    <n v="3.9"/>
    <n v="0.81"/>
    <n v="0.78"/>
    <n v="0.92"/>
    <n v="0"/>
    <n v="0.76"/>
    <n v="0.22"/>
    <n v="0"/>
    <n v="0"/>
    <n v="0"/>
    <n v="0"/>
    <n v="0"/>
    <n v="0"/>
    <n v="1"/>
    <n v="0.78"/>
    <n v="0"/>
    <x v="2"/>
    <x v="2"/>
    <x v="1"/>
    <x v="1"/>
    <x v="1"/>
    <x v="3"/>
    <x v="2"/>
  </r>
  <r>
    <s v="/krs/645"/>
    <n v="645"/>
    <s v="645 особ 4А, 4Г"/>
    <x v="5"/>
    <x v="2"/>
    <x v="75"/>
    <d v="2018-04-24T00:00:00"/>
    <x v="43"/>
    <x v="0"/>
    <s v="Всероссийская проверочная работа_x000a_"/>
    <n v="729"/>
    <n v="207"/>
    <n v="936"/>
    <n v="0.78"/>
    <n v="52"/>
    <m/>
    <n v="1"/>
    <n v="52"/>
    <n v="3.9"/>
    <n v="1.1000000000000001"/>
    <n v="0.21"/>
    <n v="0.78"/>
    <n v="0.02"/>
    <n v="0"/>
    <n v="0.02"/>
    <n v="0.22"/>
    <n v="0"/>
    <n v="0"/>
    <n v="0"/>
    <n v="0"/>
    <n v="0"/>
    <n v="0"/>
    <n v="1"/>
    <n v="0.8"/>
    <n v="0.71"/>
    <x v="1"/>
    <x v="2"/>
    <x v="2"/>
    <x v="1"/>
    <x v="2"/>
    <x v="3"/>
    <x v="2"/>
  </r>
  <r>
    <s v="/krs/646"/>
    <n v="646"/>
    <s v="639 особ 4Д, 4Е"/>
    <x v="5"/>
    <x v="2"/>
    <x v="76"/>
    <d v="2018-04-24T00:00:00"/>
    <x v="44"/>
    <x v="0"/>
    <s v="Всероссийская проверочная работа_x000a_скопирована из ид: 639 № 639 особ 4Б, 4В"/>
    <n v="789"/>
    <n v="129"/>
    <n v="918"/>
    <n v="0.86"/>
    <n v="51"/>
    <m/>
    <n v="46"/>
    <n v="51"/>
    <n v="4.3"/>
    <n v="4.3"/>
    <n v="0.85"/>
    <n v="0.86"/>
    <n v="1"/>
    <n v="0"/>
    <n v="0.9"/>
    <n v="0.14000000000000001"/>
    <n v="0"/>
    <n v="0"/>
    <n v="0"/>
    <n v="0"/>
    <n v="0"/>
    <n v="0"/>
    <n v="1"/>
    <n v="0.89"/>
    <n v="0.77"/>
    <x v="2"/>
    <x v="2"/>
    <x v="1"/>
    <x v="1"/>
    <x v="1"/>
    <x v="3"/>
    <x v="2"/>
  </r>
  <r>
    <s v="/krs/647"/>
    <n v="647"/>
    <s v="643 итог 4Д, 4Е"/>
    <x v="4"/>
    <x v="2"/>
    <x v="76"/>
    <d v="2018-05-16T23:37:00"/>
    <x v="44"/>
    <x v="0"/>
    <s v="Административная итоговая контрольная работа_x000a_скопирована из ид: 643 № 643 итог 4Б, 4В"/>
    <n v="768"/>
    <n v="150"/>
    <n v="918"/>
    <n v="0.84"/>
    <n v="51"/>
    <m/>
    <n v="45"/>
    <n v="50"/>
    <n v="4.2"/>
    <n v="4.2"/>
    <n v="0.86"/>
    <n v="0.84"/>
    <n v="0.96"/>
    <n v="0"/>
    <n v="0.9"/>
    <n v="0.16"/>
    <n v="0"/>
    <n v="0"/>
    <n v="0"/>
    <n v="0"/>
    <n v="0"/>
    <n v="0"/>
    <n v="1"/>
    <n v="0.82"/>
    <n v="0"/>
    <x v="2"/>
    <x v="2"/>
    <x v="1"/>
    <x v="1"/>
    <x v="1"/>
    <x v="3"/>
    <x v="2"/>
  </r>
  <r>
    <s v="/krs/648"/>
    <n v="648"/>
    <s v="648 итог 2В"/>
    <x v="4"/>
    <x v="2"/>
    <x v="77"/>
    <d v="2018-05-16T00:00:00"/>
    <x v="45"/>
    <x v="0"/>
    <m/>
    <n v="386"/>
    <n v="46"/>
    <n v="432"/>
    <n v="0.89"/>
    <n v="27"/>
    <m/>
    <n v="25"/>
    <n v="27"/>
    <n v="4.5"/>
    <n v="4.5"/>
    <n v="0.9"/>
    <n v="0.89"/>
    <n v="1"/>
    <n v="0"/>
    <n v="0.93"/>
    <n v="0.11"/>
    <n v="0"/>
    <n v="0"/>
    <n v="0"/>
    <n v="0"/>
    <n v="0"/>
    <n v="0"/>
    <n v="1"/>
    <n v="0.89"/>
    <n v="0"/>
    <x v="2"/>
    <x v="2"/>
    <x v="1"/>
    <x v="1"/>
    <x v="1"/>
    <x v="3"/>
    <x v="2"/>
  </r>
  <r>
    <s v="/krs/649"/>
    <n v="649"/>
    <s v="649 итог 3Б"/>
    <x v="4"/>
    <x v="2"/>
    <x v="70"/>
    <d v="2018-05-16T00:00:00"/>
    <x v="41"/>
    <x v="0"/>
    <s v="Административная контрольная работа"/>
    <n v="432"/>
    <n v="108"/>
    <n v="540"/>
    <n v="0.8"/>
    <n v="27"/>
    <m/>
    <n v="22"/>
    <n v="27"/>
    <n v="4.2"/>
    <n v="4"/>
    <n v="0.81"/>
    <n v="0.8"/>
    <n v="0.93"/>
    <n v="0"/>
    <n v="0.81"/>
    <n v="0.2"/>
    <n v="0"/>
    <n v="0"/>
    <n v="0"/>
    <n v="0"/>
    <n v="0"/>
    <n v="0"/>
    <n v="1"/>
    <n v="0.81"/>
    <n v="0"/>
    <x v="2"/>
    <x v="2"/>
    <x v="1"/>
    <x v="1"/>
    <x v="1"/>
    <x v="3"/>
    <x v="2"/>
  </r>
  <r>
    <s v="/krs/653"/>
    <n v="653"/>
    <s v="653 итог 2А, 2Б"/>
    <x v="4"/>
    <x v="2"/>
    <x v="78"/>
    <d v="2018-05-16T00:00:00"/>
    <x v="43"/>
    <x v="0"/>
    <s v="Административная конрольная работа"/>
    <n v="676"/>
    <n v="108"/>
    <n v="784"/>
    <n v="0.86"/>
    <n v="49"/>
    <m/>
    <n v="44"/>
    <n v="49"/>
    <n v="4.3"/>
    <n v="4.3"/>
    <n v="0.86"/>
    <n v="0.86"/>
    <n v="1"/>
    <n v="0"/>
    <n v="0.9"/>
    <n v="0.14000000000000001"/>
    <n v="0"/>
    <n v="0"/>
    <n v="0"/>
    <n v="0"/>
    <n v="0"/>
    <n v="0"/>
    <n v="1"/>
    <n v="0.85"/>
    <n v="0"/>
    <x v="2"/>
    <x v="2"/>
    <x v="1"/>
    <x v="1"/>
    <x v="1"/>
    <x v="3"/>
    <x v="2"/>
  </r>
  <r>
    <s v="/krs/654"/>
    <n v="654"/>
    <s v="648 итог 2Д,2Е"/>
    <x v="4"/>
    <x v="2"/>
    <x v="79"/>
    <d v="2018-09-12T00:00:00"/>
    <x v="44"/>
    <x v="0"/>
    <s v="скопирована из ид: 648 № 648 итог 3Д"/>
    <n v="697"/>
    <n v="87"/>
    <n v="784"/>
    <n v="0.89"/>
    <n v="49"/>
    <m/>
    <n v="45"/>
    <n v="49"/>
    <n v="4.4000000000000004"/>
    <n v="4.4000000000000004"/>
    <n v="0.88"/>
    <n v="0.89"/>
    <n v="0.96"/>
    <n v="0"/>
    <n v="0.92"/>
    <n v="0.11"/>
    <n v="0"/>
    <n v="0"/>
    <n v="0"/>
    <n v="0"/>
    <n v="0"/>
    <n v="0"/>
    <n v="1"/>
    <n v="0.89"/>
    <n v="0"/>
    <x v="2"/>
    <x v="2"/>
    <x v="1"/>
    <x v="1"/>
    <x v="1"/>
    <x v="3"/>
    <x v="2"/>
  </r>
  <r>
    <s v="/krs/656"/>
    <n v="656"/>
    <s v="02"/>
    <x v="1"/>
    <x v="7"/>
    <x v="18"/>
    <d v="2018-04-10T00:00:00"/>
    <x v="10"/>
    <x v="0"/>
    <s v="Контрольная работа по теме &quot;Неметаллы&quot;"/>
    <n v="614"/>
    <n v="348"/>
    <n v="962"/>
    <n v="0.64"/>
    <n v="74"/>
    <m/>
    <n v="35"/>
    <n v="68"/>
    <n v="3.6"/>
    <n v="3.2"/>
    <n v="0.7"/>
    <n v="0.64"/>
    <n v="0.76"/>
    <n v="0.77"/>
    <n v="0.51"/>
    <n v="0.36"/>
    <n v="47"/>
    <n v="33"/>
    <n v="4.2"/>
    <n v="1"/>
    <n v="0.83"/>
    <n v="0.7"/>
    <n v="0.17"/>
    <n v="0.71"/>
    <n v="0.55000000000000004"/>
    <x v="2"/>
    <x v="1"/>
    <x v="1"/>
    <x v="2"/>
    <x v="1"/>
    <x v="2"/>
    <x v="2"/>
  </r>
  <r>
    <s v="/krs/657"/>
    <n v="657"/>
    <s v="657 итог 10А соц-экон, 10Б хим-био"/>
    <x v="4"/>
    <x v="5"/>
    <x v="80"/>
    <d v="2018-05-17T00:00:00"/>
    <x v="22"/>
    <x v="1"/>
    <s v="скопирована из ид: 516 № 05"/>
    <n v="496"/>
    <n v="134"/>
    <n v="630"/>
    <n v="0.79"/>
    <n v="30"/>
    <m/>
    <n v="23"/>
    <n v="30"/>
    <n v="4"/>
    <n v="3.9"/>
    <n v="0.78"/>
    <n v="0.79"/>
    <n v="0.97"/>
    <n v="0.94"/>
    <n v="0.77"/>
    <n v="0.21"/>
    <n v="16"/>
    <n v="11"/>
    <n v="4.2"/>
    <n v="1"/>
    <n v="0.84"/>
    <n v="0.69"/>
    <n v="0.16"/>
    <n v="0.72"/>
    <n v="0.92"/>
    <x v="2"/>
    <x v="2"/>
    <x v="1"/>
    <x v="1"/>
    <x v="2"/>
    <x v="1"/>
    <x v="1"/>
  </r>
  <r>
    <s v="/krs/658"/>
    <n v="658"/>
    <s v="658 итог 10А соц-экон, 10Б хим-био"/>
    <x v="4"/>
    <x v="5"/>
    <x v="80"/>
    <d v="2018-05-17T00:00:00"/>
    <x v="5"/>
    <x v="1"/>
    <s v="скопирована из ид: 516 № 05_x000a_скопирована из ид: 657 № 657 итог 10А соц-экон, 10Б хим-био"/>
    <n v="498"/>
    <n v="132"/>
    <n v="630"/>
    <n v="0.79"/>
    <n v="30"/>
    <m/>
    <n v="23"/>
    <n v="30"/>
    <n v="4"/>
    <n v="4"/>
    <n v="0.79"/>
    <n v="0.79"/>
    <n v="1"/>
    <n v="0.94"/>
    <n v="0.77"/>
    <n v="0.21"/>
    <n v="16"/>
    <n v="11"/>
    <n v="4.2"/>
    <n v="1"/>
    <n v="0.84"/>
    <n v="0.69"/>
    <n v="0.16"/>
    <n v="0.72"/>
    <n v="0.92"/>
    <x v="2"/>
    <x v="2"/>
    <x v="1"/>
    <x v="1"/>
    <x v="2"/>
    <x v="1"/>
    <x v="1"/>
  </r>
  <r>
    <s v="/krs/659"/>
    <n v="659"/>
    <s v="659 особ 3Б, 3Г"/>
    <x v="5"/>
    <x v="1"/>
    <x v="81"/>
    <d v="2018-04-11T00:00:00"/>
    <x v="46"/>
    <x v="0"/>
    <s v="Региональная диагностическая работа_x000a_скопирована из ид: 620 № 620 особ 3А, 3Б, 3В, 3Г, 3Д"/>
    <n v="1137"/>
    <n v="267"/>
    <n v="1404"/>
    <n v="0.81"/>
    <n v="54"/>
    <m/>
    <n v="48"/>
    <n v="54"/>
    <n v="4.0999999999999996"/>
    <n v="4"/>
    <n v="0.8"/>
    <n v="0.81"/>
    <n v="0.98"/>
    <n v="0"/>
    <n v="0.89"/>
    <n v="0.19"/>
    <n v="0"/>
    <n v="0"/>
    <n v="0"/>
    <n v="0"/>
    <n v="0"/>
    <n v="0"/>
    <n v="1"/>
    <n v="0.83"/>
    <n v="0"/>
    <x v="2"/>
    <x v="2"/>
    <x v="1"/>
    <x v="1"/>
    <x v="1"/>
    <x v="3"/>
    <x v="2"/>
  </r>
  <r>
    <s v="/krs/661"/>
    <n v="661"/>
    <s v="1"/>
    <x v="3"/>
    <x v="5"/>
    <x v="0"/>
    <d v="2018-05-17T00:00:00"/>
    <x v="47"/>
    <x v="0"/>
    <m/>
    <n v="369"/>
    <n v="191"/>
    <n v="560"/>
    <n v="0.66"/>
    <n v="13"/>
    <m/>
    <n v="8"/>
    <n v="13"/>
    <n v="3.5"/>
    <n v="3.7"/>
    <n v="0.74"/>
    <n v="0.66"/>
    <n v="0.85"/>
    <n v="0"/>
    <n v="0.62"/>
    <n v="0.34"/>
    <n v="0"/>
    <n v="0"/>
    <n v="0"/>
    <n v="0"/>
    <n v="0"/>
    <n v="0"/>
    <n v="1"/>
    <n v="0.65"/>
    <n v="0.67"/>
    <x v="2"/>
    <x v="1"/>
    <x v="1"/>
    <x v="1"/>
    <x v="1"/>
    <x v="3"/>
    <x v="2"/>
  </r>
  <r>
    <s v="/krs/662"/>
    <n v="662"/>
    <s v="662 адм 3А, 3Б"/>
    <x v="3"/>
    <x v="5"/>
    <x v="71"/>
    <d v="2018-05-18T00:00:00"/>
    <x v="48"/>
    <x v="0"/>
    <m/>
    <n v="538"/>
    <n v="294"/>
    <n v="832"/>
    <n v="0.65"/>
    <n v="26"/>
    <m/>
    <n v="10"/>
    <n v="26"/>
    <n v="3.3"/>
    <n v="3.3"/>
    <n v="0.65"/>
    <n v="0.65"/>
    <n v="0.81"/>
    <n v="0"/>
    <n v="0.38"/>
    <n v="0.35"/>
    <n v="0"/>
    <n v="0"/>
    <n v="0"/>
    <n v="0"/>
    <n v="0"/>
    <n v="0"/>
    <n v="1"/>
    <n v="0.75"/>
    <n v="0.54"/>
    <x v="2"/>
    <x v="1"/>
    <x v="1"/>
    <x v="1"/>
    <x v="1"/>
    <x v="3"/>
    <x v="2"/>
  </r>
  <r>
    <s v="/krs/663"/>
    <n v="663"/>
    <s v="663 адм 4А, 4Б, 4В, 4Е"/>
    <x v="3"/>
    <x v="5"/>
    <x v="82"/>
    <d v="2018-05-17T00:00:00"/>
    <x v="48"/>
    <x v="0"/>
    <m/>
    <n v="1435"/>
    <n v="525"/>
    <n v="1960"/>
    <n v="0.73"/>
    <n v="49"/>
    <m/>
    <n v="33"/>
    <n v="49"/>
    <n v="3.8"/>
    <n v="3.8"/>
    <n v="0.76"/>
    <n v="0.73"/>
    <n v="0.98"/>
    <n v="0"/>
    <n v="0.67"/>
    <n v="0.27"/>
    <n v="0"/>
    <n v="0"/>
    <n v="0"/>
    <n v="0"/>
    <n v="0"/>
    <n v="0"/>
    <n v="1"/>
    <n v="0.73"/>
    <n v="0.74"/>
    <x v="2"/>
    <x v="2"/>
    <x v="1"/>
    <x v="1"/>
    <x v="1"/>
    <x v="3"/>
    <x v="2"/>
  </r>
  <r>
    <s v="/krs/664"/>
    <n v="664"/>
    <s v="01"/>
    <x v="3"/>
    <x v="5"/>
    <x v="83"/>
    <d v="2018-05-17T00:00:00"/>
    <x v="49"/>
    <x v="0"/>
    <m/>
    <n v="782"/>
    <n v="218"/>
    <n v="1000"/>
    <n v="0.78"/>
    <n v="25"/>
    <m/>
    <n v="22"/>
    <n v="25"/>
    <n v="4.0999999999999996"/>
    <n v="4.0999999999999996"/>
    <n v="0.82"/>
    <n v="0.78"/>
    <n v="1"/>
    <n v="0"/>
    <n v="0.88"/>
    <n v="0.22"/>
    <n v="0"/>
    <n v="0"/>
    <n v="0"/>
    <n v="0"/>
    <n v="0"/>
    <n v="0"/>
    <n v="1"/>
    <n v="0.79"/>
    <n v="0.7"/>
    <x v="2"/>
    <x v="2"/>
    <x v="1"/>
    <x v="1"/>
    <x v="1"/>
    <x v="3"/>
    <x v="2"/>
  </r>
  <r>
    <s v="/krs/666"/>
    <n v="666"/>
    <s v="666 итог 8А, 8Д"/>
    <x v="4"/>
    <x v="5"/>
    <x v="84"/>
    <d v="2018-05-21T21:13:28"/>
    <x v="15"/>
    <x v="0"/>
    <s v=""/>
    <n v="530"/>
    <n v="114"/>
    <n v="644"/>
    <n v="0.82"/>
    <n v="23"/>
    <m/>
    <n v="22"/>
    <n v="23"/>
    <n v="4.0999999999999996"/>
    <n v="4.3"/>
    <n v="0.86"/>
    <n v="0.82"/>
    <n v="1"/>
    <n v="0.92"/>
    <n v="0.96"/>
    <n v="0.18"/>
    <n v="10"/>
    <n v="9"/>
    <n v="4.4000000000000004"/>
    <n v="1"/>
    <n v="0.89"/>
    <n v="0.9"/>
    <n v="0.11"/>
    <n v="0.82"/>
    <n v="0.87"/>
    <x v="2"/>
    <x v="2"/>
    <x v="1"/>
    <x v="3"/>
    <x v="2"/>
    <x v="1"/>
    <x v="1"/>
  </r>
  <r>
    <s v="/krs/667"/>
    <n v="667"/>
    <s v="1"/>
    <x v="3"/>
    <x v="5"/>
    <x v="85"/>
    <d v="2018-05-18T00:00:00"/>
    <x v="47"/>
    <x v="0"/>
    <m/>
    <n v="358"/>
    <n v="162"/>
    <n v="520"/>
    <n v="0.69"/>
    <n v="13"/>
    <m/>
    <n v="7"/>
    <n v="13"/>
    <n v="3.4"/>
    <n v="3.5"/>
    <n v="0.71"/>
    <n v="0.69"/>
    <n v="0.92"/>
    <n v="0"/>
    <n v="0.54"/>
    <n v="0.31"/>
    <n v="0"/>
    <n v="0"/>
    <n v="0"/>
    <n v="0"/>
    <n v="0"/>
    <n v="0"/>
    <n v="1"/>
    <n v="0.73"/>
    <n v="0.48"/>
    <x v="2"/>
    <x v="1"/>
    <x v="1"/>
    <x v="1"/>
    <x v="1"/>
    <x v="3"/>
    <x v="2"/>
  </r>
  <r>
    <s v="/krs/669"/>
    <n v="669"/>
    <s v="1"/>
    <x v="3"/>
    <x v="5"/>
    <x v="86"/>
    <d v="2018-05-17T00:00:00"/>
    <x v="47"/>
    <x v="0"/>
    <m/>
    <n v="209"/>
    <n v="559"/>
    <n v="768"/>
    <n v="0.27"/>
    <n v="24"/>
    <m/>
    <n v="4"/>
    <n v="11"/>
    <n v="2.9"/>
    <n v="1.9"/>
    <n v="0.84"/>
    <n v="0.27"/>
    <n v="-0.64"/>
    <n v="0"/>
    <n v="0.36"/>
    <n v="0.73"/>
    <n v="0"/>
    <n v="0"/>
    <n v="0"/>
    <n v="0"/>
    <n v="0"/>
    <n v="0"/>
    <n v="1"/>
    <n v="0.31"/>
    <n v="0.24"/>
    <x v="1"/>
    <x v="3"/>
    <x v="2"/>
    <x v="1"/>
    <x v="1"/>
    <x v="3"/>
    <x v="2"/>
  </r>
  <r>
    <s v="/krs/673"/>
    <n v="673"/>
    <s v="1"/>
    <x v="3"/>
    <x v="1"/>
    <x v="87"/>
    <d v="2018-05-15T00:00:00"/>
    <x v="50"/>
    <x v="1"/>
    <m/>
    <n v="1236"/>
    <n v="612"/>
    <n v="1848"/>
    <n v="0.67"/>
    <n v="77"/>
    <m/>
    <n v="32"/>
    <n v="77"/>
    <n v="3.4"/>
    <n v="3.5"/>
    <n v="0.7"/>
    <n v="0.67"/>
    <n v="0.94"/>
    <n v="0"/>
    <n v="0.42"/>
    <n v="0.33"/>
    <n v="0"/>
    <n v="0"/>
    <n v="0"/>
    <n v="0"/>
    <n v="0"/>
    <n v="0"/>
    <n v="1"/>
    <n v="0.68"/>
    <n v="0.54"/>
    <x v="2"/>
    <x v="1"/>
    <x v="1"/>
    <x v="1"/>
    <x v="1"/>
    <x v="3"/>
    <x v="2"/>
  </r>
  <r>
    <s v="/krs/675"/>
    <n v="675"/>
    <s v="1"/>
    <x v="3"/>
    <x v="5"/>
    <x v="88"/>
    <d v="2018-05-17T00:00:00"/>
    <x v="51"/>
    <x v="0"/>
    <m/>
    <n v="346"/>
    <n v="134"/>
    <n v="480"/>
    <n v="0.72"/>
    <n v="12"/>
    <m/>
    <n v="6"/>
    <n v="12"/>
    <n v="3.6"/>
    <n v="3.6"/>
    <n v="0.72"/>
    <n v="0.72"/>
    <n v="0.92"/>
    <n v="0"/>
    <n v="0.5"/>
    <n v="0.28000000000000003"/>
    <n v="0"/>
    <n v="0"/>
    <n v="0"/>
    <n v="0"/>
    <n v="0"/>
    <n v="0"/>
    <n v="1"/>
    <n v="0.75"/>
    <n v="0.57999999999999996"/>
    <x v="2"/>
    <x v="2"/>
    <x v="1"/>
    <x v="1"/>
    <x v="1"/>
    <x v="3"/>
    <x v="2"/>
  </r>
  <r>
    <s v="/krs/676"/>
    <n v="676"/>
    <s v="676 итог"/>
    <x v="4"/>
    <x v="17"/>
    <x v="89"/>
    <d v="2018-05-22T14:52:01"/>
    <x v="45"/>
    <x v="0"/>
    <m/>
    <m/>
    <m/>
    <m/>
    <m/>
    <m/>
    <m/>
    <m/>
    <m/>
    <m/>
    <m/>
    <m/>
    <m/>
    <m/>
    <m/>
    <m/>
    <m/>
    <m/>
    <m/>
    <m/>
    <m/>
    <m/>
    <m/>
    <m/>
    <m/>
    <m/>
    <x v="0"/>
    <x v="0"/>
    <x v="0"/>
    <x v="0"/>
    <x v="0"/>
    <x v="0"/>
    <x v="0"/>
  </r>
  <r>
    <s v="/krs/678"/>
    <n v="678"/>
    <s v="678 адм 3Г"/>
    <x v="3"/>
    <x v="5"/>
    <x v="90"/>
    <d v="2018-05-17T00:00:00"/>
    <x v="52"/>
    <x v="0"/>
    <m/>
    <n v="209"/>
    <n v="207"/>
    <n v="416"/>
    <n v="0.5"/>
    <n v="13"/>
    <m/>
    <n v="2"/>
    <n v="12"/>
    <n v="2.8"/>
    <n v="2.7"/>
    <n v="0.57999999999999996"/>
    <n v="0.5"/>
    <n v="0.57999999999999996"/>
    <n v="0"/>
    <n v="0.17"/>
    <n v="0.5"/>
    <n v="0"/>
    <n v="0"/>
    <n v="0"/>
    <n v="0"/>
    <n v="0"/>
    <n v="0"/>
    <n v="1"/>
    <n v="0.53"/>
    <n v="0"/>
    <x v="2"/>
    <x v="3"/>
    <x v="3"/>
    <x v="1"/>
    <x v="1"/>
    <x v="3"/>
    <x v="2"/>
  </r>
  <r>
    <s v="/krs/681"/>
    <n v="681"/>
    <s v="681 итог 5Б"/>
    <x v="4"/>
    <x v="5"/>
    <x v="16"/>
    <d v="2018-05-23T09:02:39"/>
    <x v="5"/>
    <x v="1"/>
    <s v="Итог 5 Б"/>
    <n v="331"/>
    <n v="202"/>
    <n v="533"/>
    <n v="0.62"/>
    <n v="13"/>
    <m/>
    <n v="6"/>
    <n v="13"/>
    <n v="3.4"/>
    <n v="3.4"/>
    <n v="0.68"/>
    <n v="0.62"/>
    <n v="0.92"/>
    <n v="0"/>
    <n v="0.46"/>
    <n v="0.38"/>
    <n v="0"/>
    <n v="0"/>
    <n v="0"/>
    <n v="0"/>
    <n v="0"/>
    <n v="0"/>
    <n v="1"/>
    <n v="0.62"/>
    <n v="0.65"/>
    <x v="2"/>
    <x v="1"/>
    <x v="1"/>
    <x v="1"/>
    <x v="1"/>
    <x v="3"/>
    <x v="2"/>
  </r>
  <r>
    <s v="/krs/682"/>
    <n v="682"/>
    <s v="1"/>
    <x v="3"/>
    <x v="5"/>
    <x v="70"/>
    <d v="2018-05-17T00:00:00"/>
    <x v="52"/>
    <x v="0"/>
    <s v="скопирована из ид: 678 № 678 адм 3Г"/>
    <n v="276"/>
    <n v="172"/>
    <n v="448"/>
    <n v="0.62"/>
    <n v="14"/>
    <m/>
    <n v="2"/>
    <n v="14"/>
    <n v="3.1"/>
    <n v="3.1"/>
    <n v="0.61"/>
    <n v="0.62"/>
    <n v="0.86"/>
    <n v="0"/>
    <n v="0.14000000000000001"/>
    <n v="0.38"/>
    <n v="0"/>
    <n v="0"/>
    <n v="0"/>
    <n v="0"/>
    <n v="0"/>
    <n v="0"/>
    <n v="1"/>
    <n v="0.69"/>
    <n v="0.56999999999999995"/>
    <x v="2"/>
    <x v="1"/>
    <x v="1"/>
    <x v="1"/>
    <x v="1"/>
    <x v="3"/>
    <x v="2"/>
  </r>
  <r>
    <s v="/krs/683"/>
    <n v="683"/>
    <s v="1"/>
    <x v="3"/>
    <x v="5"/>
    <x v="91"/>
    <d v="2018-05-17T00:00:00"/>
    <x v="51"/>
    <x v="0"/>
    <m/>
    <n v="366"/>
    <n v="114"/>
    <n v="480"/>
    <n v="0.76"/>
    <n v="12"/>
    <m/>
    <n v="8"/>
    <n v="12"/>
    <n v="3.9"/>
    <n v="3.9"/>
    <n v="0.78"/>
    <n v="0.76"/>
    <n v="1"/>
    <n v="0"/>
    <n v="0.67"/>
    <n v="0.24"/>
    <n v="0"/>
    <n v="0"/>
    <n v="0"/>
    <n v="0"/>
    <n v="0"/>
    <n v="0"/>
    <n v="1"/>
    <n v="0.79"/>
    <n v="0.64"/>
    <x v="2"/>
    <x v="2"/>
    <x v="1"/>
    <x v="1"/>
    <x v="1"/>
    <x v="3"/>
    <x v="2"/>
  </r>
  <r>
    <s v="/krs/684"/>
    <n v="684"/>
    <s v="1"/>
    <x v="3"/>
    <x v="5"/>
    <x v="92"/>
    <d v="2018-05-17T00:00:00"/>
    <x v="51"/>
    <x v="0"/>
    <m/>
    <n v="216"/>
    <n v="168"/>
    <n v="384"/>
    <n v="0.56000000000000005"/>
    <n v="12"/>
    <m/>
    <n v="3"/>
    <n v="11"/>
    <n v="3"/>
    <n v="2.9"/>
    <n v="0.64"/>
    <n v="0.56000000000000005"/>
    <n v="0.73"/>
    <n v="0"/>
    <n v="0.27"/>
    <n v="0.44"/>
    <n v="0"/>
    <n v="0"/>
    <n v="0"/>
    <n v="0"/>
    <n v="0"/>
    <n v="0"/>
    <n v="1"/>
    <n v="0.66"/>
    <n v="0.35"/>
    <x v="2"/>
    <x v="3"/>
    <x v="1"/>
    <x v="1"/>
    <x v="1"/>
    <x v="3"/>
    <x v="2"/>
  </r>
  <r>
    <s v="/krs/685"/>
    <n v="685"/>
    <s v="1"/>
    <x v="3"/>
    <x v="5"/>
    <x v="85"/>
    <d v="2018-05-17T00:00:00"/>
    <x v="53"/>
    <x v="0"/>
    <m/>
    <n v="395"/>
    <n v="125"/>
    <n v="520"/>
    <n v="0.76"/>
    <n v="13"/>
    <m/>
    <n v="10"/>
    <n v="13"/>
    <n v="4"/>
    <n v="4.0999999999999996"/>
    <n v="0.82"/>
    <n v="0.76"/>
    <n v="1"/>
    <n v="0"/>
    <n v="0.77"/>
    <n v="0.24"/>
    <n v="0"/>
    <n v="0"/>
    <n v="0"/>
    <n v="0"/>
    <n v="0"/>
    <n v="0"/>
    <n v="1"/>
    <n v="0.76"/>
    <n v="0.75"/>
    <x v="2"/>
    <x v="2"/>
    <x v="1"/>
    <x v="1"/>
    <x v="1"/>
    <x v="3"/>
    <x v="2"/>
  </r>
  <r>
    <s v="/krs/686"/>
    <n v="686"/>
    <s v="686 адм 4В"/>
    <x v="3"/>
    <x v="5"/>
    <x v="93"/>
    <d v="2018-05-17T00:00:00"/>
    <x v="53"/>
    <x v="0"/>
    <m/>
    <n v="408"/>
    <n v="112"/>
    <n v="520"/>
    <n v="0.78"/>
    <n v="13"/>
    <m/>
    <n v="10"/>
    <n v="13"/>
    <n v="4"/>
    <n v="4"/>
    <n v="0.8"/>
    <n v="0.78"/>
    <n v="1"/>
    <n v="0"/>
    <n v="0.77"/>
    <n v="0.22"/>
    <n v="0"/>
    <n v="0"/>
    <n v="0"/>
    <n v="0"/>
    <n v="0"/>
    <n v="0"/>
    <n v="1"/>
    <n v="0.79"/>
    <n v="0.74"/>
    <x v="2"/>
    <x v="2"/>
    <x v="1"/>
    <x v="1"/>
    <x v="1"/>
    <x v="3"/>
    <x v="2"/>
  </r>
  <r>
    <s v="/krs/687"/>
    <n v="687"/>
    <s v="687 итог 3А, 3В, 3Г"/>
    <x v="3"/>
    <x v="5"/>
    <x v="94"/>
    <d v="2018-05-18T00:00:00"/>
    <x v="53"/>
    <x v="0"/>
    <m/>
    <n v="975"/>
    <n v="337"/>
    <n v="1312"/>
    <n v="0.74"/>
    <n v="41"/>
    <m/>
    <n v="31"/>
    <n v="40"/>
    <n v="4"/>
    <n v="3.9"/>
    <n v="0.81"/>
    <n v="0.74"/>
    <n v="0.98"/>
    <n v="0"/>
    <n v="0.78"/>
    <n v="0.26"/>
    <n v="0"/>
    <n v="0"/>
    <n v="0"/>
    <n v="0"/>
    <n v="0"/>
    <n v="0"/>
    <n v="1"/>
    <n v="0.77"/>
    <n v="0.66"/>
    <x v="2"/>
    <x v="2"/>
    <x v="1"/>
    <x v="1"/>
    <x v="1"/>
    <x v="3"/>
    <x v="2"/>
  </r>
  <r>
    <s v="/krs/689"/>
    <n v="689"/>
    <s v="689 адм 2В, 2Г, 2Д"/>
    <x v="3"/>
    <x v="1"/>
    <x v="87"/>
    <d v="2018-05-29T19:20:16"/>
    <x v="50"/>
    <x v="0"/>
    <s v="скопирована из ид: 673 № 1"/>
    <m/>
    <m/>
    <m/>
    <m/>
    <m/>
    <m/>
    <m/>
    <m/>
    <m/>
    <m/>
    <m/>
    <m/>
    <m/>
    <m/>
    <m/>
    <m/>
    <m/>
    <m/>
    <m/>
    <m/>
    <m/>
    <m/>
    <m/>
    <m/>
    <m/>
    <x v="0"/>
    <x v="0"/>
    <x v="0"/>
    <x v="0"/>
    <x v="0"/>
    <x v="0"/>
    <x v="0"/>
  </r>
  <r>
    <s v="/krs/690"/>
    <n v="690"/>
    <s v="690 адм 2Е"/>
    <x v="3"/>
    <x v="1"/>
    <x v="95"/>
    <d v="2018-05-29T19:23:07"/>
    <x v="54"/>
    <x v="0"/>
    <s v="скопирована из ид: 673 № 1"/>
    <n v="360"/>
    <n v="240"/>
    <n v="600"/>
    <n v="0.6"/>
    <n v="25"/>
    <m/>
    <n v="15"/>
    <n v="24"/>
    <n v="3.4"/>
    <n v="3.5"/>
    <n v="0.73"/>
    <n v="0.6"/>
    <n v="0.88"/>
    <n v="0"/>
    <n v="0.63"/>
    <n v="0.4"/>
    <n v="0"/>
    <n v="0"/>
    <n v="0"/>
    <n v="0"/>
    <n v="0"/>
    <n v="0"/>
    <n v="1"/>
    <n v="0.57999999999999996"/>
    <n v="0.61"/>
    <x v="1"/>
    <x v="1"/>
    <x v="1"/>
    <x v="1"/>
    <x v="1"/>
    <x v="3"/>
    <x v="2"/>
  </r>
  <r>
    <s v="/krs/691"/>
    <n v="691"/>
    <s v="691 адм 2Б,  "/>
    <x v="3"/>
    <x v="1"/>
    <x v="96"/>
    <d v="2018-05-15T00:00:00"/>
    <x v="55"/>
    <x v="0"/>
    <s v="скопирована из ид: 673 № 1"/>
    <n v="471"/>
    <n v="153"/>
    <n v="624"/>
    <n v="0.75"/>
    <n v="26"/>
    <m/>
    <n v="21"/>
    <n v="26"/>
    <n v="3.9"/>
    <n v="4"/>
    <n v="0.8"/>
    <n v="0.75"/>
    <n v="0.92"/>
    <n v="0"/>
    <n v="0.81"/>
    <n v="0.25"/>
    <n v="0"/>
    <n v="0"/>
    <n v="0"/>
    <n v="0"/>
    <n v="0"/>
    <n v="0"/>
    <n v="1"/>
    <n v="0.78"/>
    <n v="0.7"/>
    <x v="2"/>
    <x v="2"/>
    <x v="1"/>
    <x v="1"/>
    <x v="1"/>
    <x v="3"/>
    <x v="2"/>
  </r>
  <r>
    <s v="/krs/695"/>
    <n v="695"/>
    <s v="9"/>
    <x v="3"/>
    <x v="1"/>
    <x v="54"/>
    <d v="2018-05-15T00:00:00"/>
    <x v="56"/>
    <x v="0"/>
    <s v="Административная контрольная работа за курс начального общего образования"/>
    <n v="4147"/>
    <n v="1325"/>
    <n v="5472"/>
    <n v="0.76"/>
    <n v="150"/>
    <m/>
    <n v="118"/>
    <n v="150"/>
    <n v="4"/>
    <n v="4"/>
    <n v="0.79"/>
    <n v="0.76"/>
    <n v="0.97"/>
    <n v="0"/>
    <n v="0.79"/>
    <n v="0.24"/>
    <n v="0"/>
    <n v="0"/>
    <n v="0"/>
    <n v="0"/>
    <n v="0"/>
    <n v="0"/>
    <n v="1"/>
    <n v="0.85"/>
    <n v="0.71"/>
    <x v="2"/>
    <x v="2"/>
    <x v="1"/>
    <x v="1"/>
    <x v="1"/>
    <x v="3"/>
    <x v="2"/>
  </r>
  <r>
    <s v="/krs/697"/>
    <n v="697"/>
    <s v="1"/>
    <x v="4"/>
    <x v="0"/>
    <x v="97"/>
    <d v="2018-04-26T00:00:00"/>
    <x v="57"/>
    <x v="0"/>
    <m/>
    <m/>
    <m/>
    <m/>
    <m/>
    <m/>
    <m/>
    <m/>
    <m/>
    <m/>
    <m/>
    <m/>
    <m/>
    <m/>
    <m/>
    <m/>
    <m/>
    <m/>
    <m/>
    <m/>
    <m/>
    <m/>
    <m/>
    <m/>
    <m/>
    <m/>
    <x v="0"/>
    <x v="0"/>
    <x v="0"/>
    <x v="0"/>
    <x v="0"/>
    <x v="0"/>
    <x v="0"/>
  </r>
  <r>
    <s v="/krs/698"/>
    <n v="698"/>
    <s v="1"/>
    <x v="4"/>
    <x v="0"/>
    <x v="97"/>
    <d v="2018-04-26T00:00:00"/>
    <x v="57"/>
    <x v="0"/>
    <m/>
    <m/>
    <m/>
    <m/>
    <m/>
    <m/>
    <m/>
    <m/>
    <m/>
    <m/>
    <m/>
    <m/>
    <m/>
    <m/>
    <m/>
    <m/>
    <m/>
    <m/>
    <m/>
    <m/>
    <m/>
    <m/>
    <m/>
    <m/>
    <m/>
    <m/>
    <x v="0"/>
    <x v="0"/>
    <x v="0"/>
    <x v="0"/>
    <x v="0"/>
    <x v="0"/>
    <x v="0"/>
  </r>
  <r>
    <s v="/krs/699"/>
    <n v="699"/>
    <s v="699 адм 4В"/>
    <x v="3"/>
    <x v="1"/>
    <x v="93"/>
    <d v="2018-05-15T00:00:00"/>
    <x v="55"/>
    <x v="0"/>
    <s v="Административная контрольная работа за курс начального общего образования_x000a_скопирована из ид: 695 № 9"/>
    <n v="728"/>
    <n v="208"/>
    <n v="936"/>
    <n v="0.78"/>
    <n v="26"/>
    <m/>
    <n v="21"/>
    <n v="26"/>
    <n v="4"/>
    <n v="4.0999999999999996"/>
    <n v="0.82"/>
    <n v="0.78"/>
    <n v="0.92"/>
    <n v="0"/>
    <n v="0.81"/>
    <n v="0.22"/>
    <n v="0"/>
    <n v="0"/>
    <n v="0"/>
    <n v="0"/>
    <n v="0"/>
    <n v="0"/>
    <n v="1"/>
    <n v="0.83"/>
    <n v="0.76"/>
    <x v="2"/>
    <x v="2"/>
    <x v="1"/>
    <x v="1"/>
    <x v="1"/>
    <x v="3"/>
    <x v="2"/>
  </r>
  <r>
    <s v="/krs/700"/>
    <n v="700"/>
    <s v="649 итог ЗВ, ЗГ, ЗД"/>
    <x v="4"/>
    <x v="2"/>
    <x v="98"/>
    <d v="2018-05-16T00:00:00"/>
    <x v="58"/>
    <x v="1"/>
    <s v="Административная контрольная работа"/>
    <n v="908"/>
    <n v="472"/>
    <n v="1380"/>
    <n v="0.66"/>
    <n v="69"/>
    <m/>
    <n v="36"/>
    <n v="69"/>
    <n v="3.4"/>
    <n v="3.5"/>
    <n v="0.71"/>
    <n v="0.66"/>
    <n v="0.75"/>
    <n v="0"/>
    <n v="0.52"/>
    <n v="0.34"/>
    <n v="0"/>
    <n v="0"/>
    <n v="0"/>
    <n v="0"/>
    <n v="0"/>
    <n v="0"/>
    <n v="1"/>
    <n v="0.67"/>
    <n v="0"/>
    <x v="2"/>
    <x v="1"/>
    <x v="1"/>
    <x v="1"/>
    <x v="1"/>
    <x v="3"/>
    <x v="2"/>
  </r>
  <r>
    <s v="/krs/701"/>
    <n v="701"/>
    <s v="701 адм 4А, 4Б, 4В, 4Г, 4Д, 4Е"/>
    <x v="3"/>
    <x v="1"/>
    <x v="54"/>
    <d v="2018-06-02T08:31:57"/>
    <x v="55"/>
    <x v="0"/>
    <s v="Административная контрольная работа за курс начального общего образования_x000a_скопирована из ид: 695 № 9"/>
    <m/>
    <m/>
    <m/>
    <m/>
    <m/>
    <m/>
    <m/>
    <m/>
    <m/>
    <m/>
    <m/>
    <m/>
    <m/>
    <m/>
    <m/>
    <m/>
    <m/>
    <m/>
    <m/>
    <m/>
    <m/>
    <m/>
    <m/>
    <m/>
    <m/>
    <x v="0"/>
    <x v="0"/>
    <x v="0"/>
    <x v="0"/>
    <x v="0"/>
    <x v="0"/>
    <x v="0"/>
  </r>
  <r>
    <s v="/krs/702"/>
    <n v="702"/>
    <s v="702 итог 5Б"/>
    <x v="4"/>
    <x v="5"/>
    <x v="16"/>
    <d v="2018-06-02T11:27:06"/>
    <x v="36"/>
    <x v="1"/>
    <s v="Итог 5 Б_x000a_"/>
    <n v="0"/>
    <n v="1148"/>
    <n v="1148"/>
    <n v="0"/>
    <n v="28"/>
    <m/>
    <n v="10"/>
    <n v="0"/>
    <n v="0"/>
    <n v="3.3"/>
    <n v="0"/>
    <n v="0"/>
    <n v="0"/>
    <n v="0"/>
    <n v="0"/>
    <n v="1"/>
    <n v="0"/>
    <n v="0"/>
    <n v="0"/>
    <n v="0"/>
    <n v="0"/>
    <n v="0"/>
    <n v="1"/>
    <n v="0"/>
    <n v="0"/>
    <x v="2"/>
    <x v="3"/>
    <x v="2"/>
    <x v="1"/>
    <x v="2"/>
    <x v="3"/>
    <x v="2"/>
  </r>
  <r>
    <s v="/krs/703"/>
    <n v="703"/>
    <s v="703 итог 7Б"/>
    <x v="4"/>
    <x v="5"/>
    <x v="5"/>
    <d v="2018-06-04T10:26:48"/>
    <x v="36"/>
    <x v="1"/>
    <m/>
    <n v="250"/>
    <n v="134"/>
    <n v="384"/>
    <n v="0.65"/>
    <n v="12"/>
    <m/>
    <n v="5"/>
    <n v="12"/>
    <n v="3.4"/>
    <n v="3.4"/>
    <n v="0.68"/>
    <n v="0.65"/>
    <n v="0.83"/>
    <n v="0.78"/>
    <n v="0.42"/>
    <n v="0.35"/>
    <n v="10"/>
    <n v="7"/>
    <n v="4.0999999999999996"/>
    <n v="1"/>
    <n v="0.83"/>
    <n v="0.7"/>
    <n v="0.17"/>
    <n v="0.59"/>
    <n v="0"/>
    <x v="2"/>
    <x v="1"/>
    <x v="1"/>
    <x v="2"/>
    <x v="1"/>
    <x v="2"/>
    <x v="2"/>
  </r>
  <r>
    <s v="/krs/704"/>
    <n v="704"/>
    <s v="9"/>
    <x v="4"/>
    <x v="1"/>
    <x v="81"/>
    <d v="2018-05-15T00:00:00"/>
    <x v="46"/>
    <x v="0"/>
    <s v="Итоговая контрольная работа за год"/>
    <n v="665"/>
    <n v="183"/>
    <n v="848"/>
    <n v="0.78"/>
    <n v="53"/>
    <m/>
    <n v="47"/>
    <n v="51"/>
    <n v="4"/>
    <n v="4.2"/>
    <n v="0.87"/>
    <n v="0.78"/>
    <n v="0.96"/>
    <n v="0"/>
    <n v="0.92"/>
    <n v="0.22"/>
    <n v="0"/>
    <n v="0"/>
    <n v="0"/>
    <n v="0"/>
    <n v="0"/>
    <n v="0"/>
    <n v="1"/>
    <n v="0.78"/>
    <n v="0"/>
    <x v="2"/>
    <x v="2"/>
    <x v="1"/>
    <x v="1"/>
    <x v="1"/>
    <x v="3"/>
    <x v="2"/>
  </r>
  <r>
    <s v="/krs/705"/>
    <n v="705"/>
    <s v="705 итог 3А, 3Д"/>
    <x v="4"/>
    <x v="1"/>
    <x v="99"/>
    <d v="2018-05-15T00:00:00"/>
    <x v="35"/>
    <x v="0"/>
    <s v="Итоговая контрольная работа за год_x000a_скопирована из ид: 704 № 9"/>
    <n v="677"/>
    <n v="107"/>
    <n v="784"/>
    <n v="0.86"/>
    <n v="49"/>
    <m/>
    <n v="44"/>
    <n v="49"/>
    <n v="4.3"/>
    <n v="4.5999999999999996"/>
    <n v="0.91"/>
    <n v="0.86"/>
    <n v="1"/>
    <n v="0"/>
    <n v="0.9"/>
    <n v="0.14000000000000001"/>
    <n v="0"/>
    <n v="0"/>
    <n v="0"/>
    <n v="0"/>
    <n v="0"/>
    <n v="0"/>
    <n v="1"/>
    <n v="0.87"/>
    <n v="0"/>
    <x v="2"/>
    <x v="2"/>
    <x v="1"/>
    <x v="1"/>
    <x v="1"/>
    <x v="3"/>
    <x v="2"/>
  </r>
  <r>
    <s v="/krs/706"/>
    <n v="706"/>
    <s v="706 особ 3Б"/>
    <x v="5"/>
    <x v="0"/>
    <x v="70"/>
    <d v="2018-04-25T00:00:00"/>
    <x v="46"/>
    <x v="0"/>
    <s v="Региональная диагностическая работа_x000a_скопирована из ид: 607 № 607 особ 3Б"/>
    <n v="362"/>
    <n v="97"/>
    <n v="459"/>
    <n v="0.79"/>
    <n v="27"/>
    <m/>
    <n v="23"/>
    <n v="25"/>
    <n v="4.3"/>
    <n v="3.9"/>
    <n v="0.83"/>
    <n v="0.79"/>
    <n v="0.88"/>
    <n v="0"/>
    <n v="0.92"/>
    <n v="0.21"/>
    <n v="0"/>
    <n v="0"/>
    <n v="0"/>
    <n v="0"/>
    <n v="0"/>
    <n v="0"/>
    <n v="1"/>
    <n v="0.88"/>
    <n v="0.62"/>
    <x v="2"/>
    <x v="2"/>
    <x v="1"/>
    <x v="1"/>
    <x v="1"/>
    <x v="3"/>
    <x v="2"/>
  </r>
  <r>
    <s v="/krs/707"/>
    <n v="707"/>
    <s v="05"/>
    <x v="1"/>
    <x v="8"/>
    <x v="61"/>
    <d v="2018-05-10T00:00:00"/>
    <x v="12"/>
    <x v="1"/>
    <s v="глава &quot;Хобби&quot;"/>
    <n v="343"/>
    <n v="411"/>
    <n v="754"/>
    <n v="0.45"/>
    <n v="26"/>
    <m/>
    <n v="3"/>
    <n v="26"/>
    <n v="2.5"/>
    <n v="2.5"/>
    <n v="0.49"/>
    <n v="0.45"/>
    <n v="0.5"/>
    <n v="0"/>
    <n v="0.12"/>
    <n v="0.55000000000000004"/>
    <n v="0"/>
    <n v="0"/>
    <n v="0"/>
    <n v="0"/>
    <n v="0"/>
    <n v="0"/>
    <n v="1"/>
    <n v="0.42"/>
    <n v="0"/>
    <x v="2"/>
    <x v="3"/>
    <x v="3"/>
    <x v="1"/>
    <x v="1"/>
    <x v="3"/>
    <x v="2"/>
  </r>
  <r>
    <s v="/krs/709"/>
    <n v="709"/>
    <s v="1"/>
    <x v="5"/>
    <x v="0"/>
    <x v="97"/>
    <d v="2018-04-26T00:00:00"/>
    <x v="57"/>
    <x v="0"/>
    <s v="Всероссийская проверочная работа"/>
    <m/>
    <m/>
    <m/>
    <m/>
    <m/>
    <m/>
    <m/>
    <m/>
    <m/>
    <m/>
    <m/>
    <m/>
    <m/>
    <m/>
    <m/>
    <m/>
    <m/>
    <m/>
    <m/>
    <m/>
    <m/>
    <m/>
    <m/>
    <m/>
    <m/>
    <x v="0"/>
    <x v="0"/>
    <x v="0"/>
    <x v="0"/>
    <x v="0"/>
    <x v="0"/>
    <x v="0"/>
  </r>
  <r>
    <s v="/krs/710"/>
    <n v="710"/>
    <s v="710 итог 3Б"/>
    <x v="4"/>
    <x v="0"/>
    <x v="70"/>
    <d v="2018-06-05T20:48:34"/>
    <x v="46"/>
    <x v="0"/>
    <s v="Итоговая контрольная работа за год"/>
    <n v="413"/>
    <n v="115"/>
    <n v="528"/>
    <n v="0.78"/>
    <n v="21"/>
    <m/>
    <n v="17"/>
    <n v="21"/>
    <n v="4.2"/>
    <n v="3.9"/>
    <n v="0.78"/>
    <n v="0.78"/>
    <n v="1"/>
    <n v="0"/>
    <n v="0.81"/>
    <n v="0.22"/>
    <n v="0"/>
    <n v="0"/>
    <n v="0"/>
    <n v="0"/>
    <n v="0"/>
    <n v="0"/>
    <n v="1"/>
    <n v="0.82"/>
    <n v="0.6"/>
    <x v="2"/>
    <x v="2"/>
    <x v="1"/>
    <x v="1"/>
    <x v="1"/>
    <x v="3"/>
    <x v="2"/>
  </r>
  <r>
    <s v="/krs/713"/>
    <n v="713"/>
    <s v="713 адм 2А"/>
    <x v="3"/>
    <x v="1"/>
    <x v="100"/>
    <d v="2018-05-15T00:00:00"/>
    <x v="59"/>
    <x v="0"/>
    <s v="скопирована из ид: 673 № 1_x000a_скопирована из ид: 691 № 691 адм 2Б,  "/>
    <n v="429"/>
    <n v="147"/>
    <n v="576"/>
    <n v="0.74"/>
    <n v="24"/>
    <m/>
    <n v="16"/>
    <n v="24"/>
    <n v="3.8"/>
    <n v="3.8"/>
    <n v="0.77"/>
    <n v="0.74"/>
    <n v="0.96"/>
    <n v="0"/>
    <n v="0.67"/>
    <n v="0.26"/>
    <n v="0"/>
    <n v="0"/>
    <n v="0"/>
    <n v="0"/>
    <n v="0"/>
    <n v="0"/>
    <n v="1"/>
    <n v="0.76"/>
    <n v="0.67"/>
    <x v="2"/>
    <x v="2"/>
    <x v="1"/>
    <x v="1"/>
    <x v="1"/>
    <x v="3"/>
    <x v="2"/>
  </r>
  <r>
    <s v="/krs/714"/>
    <n v="714"/>
    <s v="714 адм 3В"/>
    <x v="3"/>
    <x v="1"/>
    <x v="101"/>
    <d v="2018-05-15T00:00:00"/>
    <x v="59"/>
    <x v="0"/>
    <s v="Итоговая контрольная работа за год_x000a_скопирована из ид: 704 № 9"/>
    <n v="266"/>
    <n v="102"/>
    <n v="368"/>
    <n v="0.72"/>
    <n v="23"/>
    <m/>
    <n v="14"/>
    <n v="23"/>
    <n v="3.7"/>
    <n v="3.8"/>
    <n v="0.76"/>
    <n v="0.72"/>
    <n v="0.96"/>
    <n v="0"/>
    <n v="0.61"/>
    <n v="0.28000000000000003"/>
    <n v="0"/>
    <n v="0"/>
    <n v="0"/>
    <n v="0"/>
    <n v="0"/>
    <n v="0"/>
    <n v="1"/>
    <n v="0.74"/>
    <n v="0"/>
    <x v="2"/>
    <x v="2"/>
    <x v="1"/>
    <x v="1"/>
    <x v="1"/>
    <x v="3"/>
    <x v="2"/>
  </r>
  <r>
    <s v="/krs/715"/>
    <n v="715"/>
    <s v="Экзамен "/>
    <x v="2"/>
    <x v="1"/>
    <x v="50"/>
    <d v="2018-06-06T00:00:00"/>
    <x v="1"/>
    <x v="1"/>
    <s v="ЕГЭ по русскому языку"/>
    <n v="3058"/>
    <n v="704"/>
    <n v="3762"/>
    <n v="0.81"/>
    <n v="66"/>
    <m/>
    <n v="57"/>
    <n v="66"/>
    <n v="4.0999999999999996"/>
    <n v="4.0999999999999996"/>
    <n v="0.82"/>
    <n v="0.81"/>
    <n v="1"/>
    <n v="1.03"/>
    <n v="0.86"/>
    <n v="0.19"/>
    <n v="65"/>
    <n v="46"/>
    <n v="3.9"/>
    <n v="1"/>
    <n v="0.79"/>
    <n v="0.71"/>
    <n v="0.21"/>
    <n v="0.83"/>
    <n v="0.77"/>
    <x v="2"/>
    <x v="2"/>
    <x v="1"/>
    <x v="1"/>
    <x v="1"/>
    <x v="3"/>
    <x v="1"/>
  </r>
  <r>
    <s v="/krs/717"/>
    <n v="717"/>
    <s v="Экзамен"/>
    <x v="2"/>
    <x v="1"/>
    <x v="18"/>
    <d v="2018-06-29T00:00:00"/>
    <x v="1"/>
    <x v="1"/>
    <s v="ОГЭ по русскому языку"/>
    <n v="2698"/>
    <n v="188"/>
    <n v="2886"/>
    <n v="0.93"/>
    <n v="74"/>
    <m/>
    <n v="71"/>
    <n v="74"/>
    <n v="4.8"/>
    <n v="4.8"/>
    <n v="0.95"/>
    <n v="0.93"/>
    <n v="1"/>
    <n v="1.21"/>
    <n v="0.96"/>
    <n v="7.0000000000000007E-2"/>
    <n v="47"/>
    <n v="25"/>
    <n v="3.8"/>
    <n v="0.96"/>
    <n v="0.77"/>
    <n v="0.53"/>
    <n v="0.23"/>
    <n v="0.91"/>
    <n v="0.98"/>
    <x v="2"/>
    <x v="2"/>
    <x v="1"/>
    <x v="1"/>
    <x v="1"/>
    <x v="3"/>
    <x v="1"/>
  </r>
  <r>
    <s v="/krs/718"/>
    <n v="718"/>
    <s v="10"/>
    <x v="2"/>
    <x v="5"/>
    <x v="18"/>
    <d v="2018-05-26T00:00:00"/>
    <x v="22"/>
    <x v="0"/>
    <m/>
    <n v="711"/>
    <n v="129"/>
    <n v="840"/>
    <n v="0.85"/>
    <n v="12"/>
    <m/>
    <n v="12"/>
    <n v="12"/>
    <n v="4.0999999999999996"/>
    <n v="4.8"/>
    <n v="0.95"/>
    <n v="0.85"/>
    <n v="1"/>
    <n v="0.93"/>
    <n v="1"/>
    <n v="0.15"/>
    <n v="7"/>
    <n v="7"/>
    <n v="4.5999999999999996"/>
    <n v="1"/>
    <n v="0.91"/>
    <n v="1"/>
    <n v="0.09"/>
    <n v="0.8"/>
    <n v="0.84"/>
    <x v="1"/>
    <x v="2"/>
    <x v="1"/>
    <x v="3"/>
    <x v="2"/>
    <x v="1"/>
    <x v="1"/>
  </r>
  <r>
    <s v="/krs/719"/>
    <n v="719"/>
    <s v="10"/>
    <x v="2"/>
    <x v="5"/>
    <x v="18"/>
    <d v="2018-06-22T11:41:41"/>
    <x v="15"/>
    <x v="0"/>
    <s v="экзаменационная "/>
    <n v="711"/>
    <n v="129"/>
    <n v="840"/>
    <n v="0.85"/>
    <n v="12"/>
    <m/>
    <n v="12"/>
    <n v="12"/>
    <n v="4.0999999999999996"/>
    <n v="4.8"/>
    <n v="0.95"/>
    <n v="0.85"/>
    <n v="1"/>
    <n v="0.93"/>
    <n v="1"/>
    <n v="0.15"/>
    <n v="7"/>
    <n v="7"/>
    <n v="4.5999999999999996"/>
    <n v="1"/>
    <n v="0.91"/>
    <n v="1"/>
    <n v="0.09"/>
    <n v="0.8"/>
    <n v="0.84"/>
    <x v="1"/>
    <x v="2"/>
    <x v="1"/>
    <x v="3"/>
    <x v="2"/>
    <x v="1"/>
    <x v="1"/>
  </r>
  <r>
    <s v="/krs/720"/>
    <n v="720"/>
    <s v="Экзамен"/>
    <x v="2"/>
    <x v="7"/>
    <x v="15"/>
    <d v="2018-06-04T00:00:00"/>
    <x v="10"/>
    <x v="0"/>
    <m/>
    <n v="621"/>
    <n v="459"/>
    <n v="1080"/>
    <n v="0.56999999999999995"/>
    <n v="18"/>
    <m/>
    <n v="7"/>
    <n v="18"/>
    <n v="3.1"/>
    <n v="3.2"/>
    <n v="0.64"/>
    <n v="0.56999999999999995"/>
    <n v="0.67"/>
    <n v="0.7"/>
    <n v="0.39"/>
    <n v="0.43"/>
    <n v="17"/>
    <n v="13"/>
    <n v="4.0999999999999996"/>
    <n v="1"/>
    <n v="0.82"/>
    <n v="0.76"/>
    <n v="0.18"/>
    <n v="0.67"/>
    <n v="0.56000000000000005"/>
    <x v="2"/>
    <x v="3"/>
    <x v="3"/>
    <x v="2"/>
    <x v="1"/>
    <x v="2"/>
    <x v="2"/>
  </r>
  <r>
    <s v="/krs/721"/>
    <n v="721"/>
    <s v="721 экз 9А, 9Б, 9В"/>
    <x v="2"/>
    <x v="5"/>
    <x v="18"/>
    <d v="2018-06-22T20:38:30"/>
    <x v="15"/>
    <x v="0"/>
    <s v="скопирована из ид: 718 № 10"/>
    <n v="711"/>
    <n v="129"/>
    <n v="840"/>
    <n v="0.85"/>
    <n v="12"/>
    <m/>
    <n v="12"/>
    <n v="12"/>
    <n v="4.0999999999999996"/>
    <n v="4.8"/>
    <n v="0.95"/>
    <n v="0.85"/>
    <n v="1"/>
    <n v="0.93"/>
    <n v="1"/>
    <n v="0.15"/>
    <n v="7"/>
    <n v="7"/>
    <n v="4.5999999999999996"/>
    <n v="1"/>
    <n v="0.91"/>
    <n v="1"/>
    <n v="0.09"/>
    <n v="0.8"/>
    <n v="0.84"/>
    <x v="1"/>
    <x v="2"/>
    <x v="1"/>
    <x v="3"/>
    <x v="2"/>
    <x v="1"/>
    <x v="1"/>
  </r>
  <r>
    <s v="/krs/723"/>
    <n v="723"/>
    <s v="723 экз 9А, 9Б, 9В"/>
    <x v="2"/>
    <x v="7"/>
    <x v="18"/>
    <d v="2018-06-07T00:00:00"/>
    <x v="10"/>
    <x v="0"/>
    <m/>
    <n v="391"/>
    <n v="119"/>
    <n v="510"/>
    <n v="0.77"/>
    <n v="15"/>
    <m/>
    <n v="14"/>
    <n v="15"/>
    <n v="3.9"/>
    <n v="4.4000000000000004"/>
    <n v="0.88"/>
    <n v="0.77"/>
    <n v="1"/>
    <n v="0.88"/>
    <n v="0.93"/>
    <n v="0.23"/>
    <n v="11"/>
    <n v="9"/>
    <n v="4.4000000000000004"/>
    <n v="1"/>
    <n v="0.88"/>
    <n v="0.82"/>
    <n v="0.12"/>
    <n v="0.85"/>
    <n v="0.73"/>
    <x v="1"/>
    <x v="2"/>
    <x v="1"/>
    <x v="2"/>
    <x v="1"/>
    <x v="2"/>
    <x v="2"/>
  </r>
  <r>
    <s v="/krs/724"/>
    <n v="724"/>
    <s v="724 экз 9А, 9Б, 9В"/>
    <x v="2"/>
    <x v="3"/>
    <x v="18"/>
    <d v="2018-06-23T09:09:10"/>
    <x v="3"/>
    <x v="1"/>
    <s v="ОГЭ по биологии "/>
    <n v="514"/>
    <n v="222"/>
    <n v="736"/>
    <n v="0.7"/>
    <n v="16"/>
    <m/>
    <n v="16"/>
    <n v="16"/>
    <n v="3.5"/>
    <n v="4.2"/>
    <n v="0.84"/>
    <n v="0.7"/>
    <n v="1"/>
    <n v="0.79"/>
    <n v="1"/>
    <n v="0.3"/>
    <n v="12"/>
    <n v="9"/>
    <n v="4.4000000000000004"/>
    <n v="1"/>
    <n v="0.89"/>
    <n v="0.75"/>
    <n v="0.11"/>
    <n v="0.74"/>
    <n v="0.66"/>
    <x v="1"/>
    <x v="2"/>
    <x v="1"/>
    <x v="2"/>
    <x v="1"/>
    <x v="2"/>
    <x v="2"/>
  </r>
  <r>
    <s v="/krs/725"/>
    <n v="725"/>
    <s v="725 экз 9А, 9Б, 9В"/>
    <x v="2"/>
    <x v="2"/>
    <x v="18"/>
    <d v="2018-06-06T00:00:00"/>
    <x v="2"/>
    <x v="0"/>
    <s v="Государственная итоговая аттестация"/>
    <n v="1498"/>
    <n v="870"/>
    <n v="2368"/>
    <n v="0.63"/>
    <n v="74"/>
    <m/>
    <n v="71"/>
    <n v="74"/>
    <n v="3.2"/>
    <n v="4.3"/>
    <n v="0.86"/>
    <n v="0.63"/>
    <n v="0.99"/>
    <n v="0.8"/>
    <n v="0.96"/>
    <n v="0.37"/>
    <n v="47"/>
    <n v="28"/>
    <n v="3.9"/>
    <n v="1"/>
    <n v="0.79"/>
    <n v="0.6"/>
    <n v="0.21"/>
    <n v="0.9"/>
    <n v="0.18"/>
    <x v="1"/>
    <x v="1"/>
    <x v="1"/>
    <x v="2"/>
    <x v="1"/>
    <x v="2"/>
    <x v="2"/>
  </r>
  <r>
    <s v="/krs/726"/>
    <n v="726"/>
    <s v="ОГЭ по информатике"/>
    <x v="2"/>
    <x v="11"/>
    <x v="18"/>
    <d v="2018-05-31T00:00:00"/>
    <x v="17"/>
    <x v="0"/>
    <s v=""/>
    <n v="433"/>
    <n v="117"/>
    <n v="550"/>
    <n v="0.79"/>
    <n v="25"/>
    <m/>
    <n v="23"/>
    <n v="25"/>
    <n v="3.9"/>
    <n v="4.5"/>
    <n v="0.9"/>
    <n v="0.79"/>
    <n v="1"/>
    <n v="1"/>
    <n v="0.92"/>
    <n v="0.21"/>
    <n v="13"/>
    <n v="7"/>
    <n v="4"/>
    <n v="1"/>
    <n v="0.79"/>
    <n v="0.54"/>
    <n v="0.21"/>
    <n v="0.83"/>
    <n v="0.76"/>
    <x v="1"/>
    <x v="2"/>
    <x v="1"/>
    <x v="1"/>
    <x v="1"/>
    <x v="3"/>
    <x v="1"/>
  </r>
  <r>
    <s v="/krs/727"/>
    <n v="727"/>
    <s v="ЕГЭ по информатике"/>
    <x v="2"/>
    <x v="11"/>
    <x v="1"/>
    <d v="2018-05-28T00:00:00"/>
    <x v="17"/>
    <x v="0"/>
    <m/>
    <n v="195"/>
    <n v="155"/>
    <n v="350"/>
    <n v="0.56000000000000005"/>
    <n v="10"/>
    <m/>
    <n v="10"/>
    <n v="10"/>
    <n v="2.8"/>
    <n v="4.2"/>
    <n v="0.84"/>
    <n v="0.56000000000000005"/>
    <n v="1"/>
    <n v="0.7"/>
    <n v="1"/>
    <n v="0.44"/>
    <n v="10"/>
    <n v="10"/>
    <n v="4"/>
    <n v="1"/>
    <n v="0.8"/>
    <n v="1"/>
    <n v="0.2"/>
    <n v="0.7"/>
    <n v="0.55000000000000004"/>
    <x v="1"/>
    <x v="3"/>
    <x v="1"/>
    <x v="2"/>
    <x v="2"/>
    <x v="2"/>
    <x v="2"/>
  </r>
  <r>
    <s v="/krs/729"/>
    <n v="729"/>
    <s v="729 экз 11А"/>
    <x v="2"/>
    <x v="9"/>
    <x v="13"/>
    <d v="2018-06-27T20:20:50"/>
    <x v="13"/>
    <x v="3"/>
    <m/>
    <n v="847"/>
    <n v="561"/>
    <n v="1408"/>
    <n v="0.6"/>
    <n v="22"/>
    <m/>
    <n v="16"/>
    <n v="22"/>
    <n v="3"/>
    <n v="3.9"/>
    <n v="0.77"/>
    <n v="0.6"/>
    <n v="1"/>
    <n v="0.7"/>
    <n v="0.73"/>
    <n v="0.4"/>
    <n v="22"/>
    <n v="22"/>
    <n v="4.3"/>
    <n v="1"/>
    <n v="0.86"/>
    <n v="1"/>
    <n v="0.14000000000000001"/>
    <n v="0.75"/>
    <n v="0.61"/>
    <x v="1"/>
    <x v="1"/>
    <x v="1"/>
    <x v="2"/>
    <x v="1"/>
    <x v="2"/>
    <x v="2"/>
  </r>
  <r>
    <s v="/krs/732"/>
    <n v="732"/>
    <s v="01"/>
    <x v="1"/>
    <x v="8"/>
    <x v="49"/>
    <d v="2017-10-19T00:00:00"/>
    <x v="39"/>
    <x v="1"/>
    <s v="Контрольная работа №1 &quot; Знакомство&quot;"/>
    <n v="526"/>
    <n v="176"/>
    <n v="702"/>
    <n v="0.75"/>
    <n v="26"/>
    <m/>
    <n v="19"/>
    <n v="26"/>
    <n v="3.8"/>
    <n v="3.8"/>
    <n v="0.77"/>
    <n v="0.75"/>
    <n v="0.96"/>
    <n v="0"/>
    <n v="0.73"/>
    <n v="0.25"/>
    <n v="0"/>
    <n v="0"/>
    <n v="0"/>
    <n v="0"/>
    <n v="0"/>
    <n v="0"/>
    <n v="1"/>
    <n v="0.75"/>
    <n v="0"/>
    <x v="2"/>
    <x v="2"/>
    <x v="1"/>
    <x v="1"/>
    <x v="1"/>
    <x v="3"/>
    <x v="2"/>
  </r>
  <r>
    <s v="/krs/733"/>
    <n v="733"/>
    <s v="02"/>
    <x v="1"/>
    <x v="8"/>
    <x v="49"/>
    <d v="2017-11-28T00:00:00"/>
    <x v="39"/>
    <x v="1"/>
    <s v="Контрольная работа №2 &quot; Мой класс&quot;"/>
    <n v="472"/>
    <n v="203"/>
    <n v="675"/>
    <n v="0.7"/>
    <n v="25"/>
    <m/>
    <n v="13"/>
    <n v="25"/>
    <n v="3.7"/>
    <n v="3.7"/>
    <n v="0.74"/>
    <n v="0.7"/>
    <n v="0.96"/>
    <n v="0"/>
    <n v="0.52"/>
    <n v="0.3"/>
    <n v="0"/>
    <n v="0"/>
    <n v="0"/>
    <n v="0"/>
    <n v="0"/>
    <n v="0"/>
    <n v="1"/>
    <n v="0.71"/>
    <n v="0.71"/>
    <x v="2"/>
    <x v="2"/>
    <x v="1"/>
    <x v="1"/>
    <x v="1"/>
    <x v="3"/>
    <x v="2"/>
  </r>
  <r>
    <s v="/krs/734"/>
    <n v="734"/>
    <s v="03"/>
    <x v="1"/>
    <x v="8"/>
    <x v="49"/>
    <d v="2018-02-06T00:00:00"/>
    <x v="39"/>
    <x v="1"/>
    <s v="Контрольная работа №3 &quot; Животные&quot;"/>
    <n v="890"/>
    <n v="325"/>
    <n v="1215"/>
    <n v="0.73"/>
    <n v="25"/>
    <m/>
    <n v="18"/>
    <n v="25"/>
    <n v="3.9"/>
    <n v="3.9"/>
    <n v="0.78"/>
    <n v="0.73"/>
    <n v="1"/>
    <n v="0"/>
    <n v="0.72"/>
    <n v="0.27"/>
    <n v="0"/>
    <n v="0"/>
    <n v="0"/>
    <n v="0"/>
    <n v="0"/>
    <n v="0"/>
    <n v="1"/>
    <n v="0.74"/>
    <n v="0.76"/>
    <x v="2"/>
    <x v="2"/>
    <x v="1"/>
    <x v="1"/>
    <x v="1"/>
    <x v="3"/>
    <x v="2"/>
  </r>
  <r>
    <s v="/krs/735"/>
    <n v="735"/>
    <s v="04"/>
    <x v="1"/>
    <x v="8"/>
    <x v="49"/>
    <d v="2018-03-15T00:00:00"/>
    <x v="39"/>
    <x v="1"/>
    <s v="Контрольная работа №3  &quot;Мой  день в школе&quot;"/>
    <n v="510"/>
    <n v="300"/>
    <n v="810"/>
    <n v="0.63"/>
    <n v="23"/>
    <m/>
    <n v="16"/>
    <n v="23"/>
    <n v="3.8"/>
    <n v="3.8"/>
    <n v="0.76"/>
    <n v="0.63"/>
    <n v="0.78"/>
    <n v="0"/>
    <n v="0.7"/>
    <n v="0.37"/>
    <n v="0"/>
    <n v="0"/>
    <n v="0"/>
    <n v="0"/>
    <n v="0"/>
    <n v="0"/>
    <n v="1"/>
    <n v="0.63"/>
    <n v="0.61"/>
    <x v="1"/>
    <x v="1"/>
    <x v="1"/>
    <x v="1"/>
    <x v="1"/>
    <x v="3"/>
    <x v="2"/>
  </r>
  <r>
    <s v="/krs/736"/>
    <n v="736"/>
    <s v="05"/>
    <x v="1"/>
    <x v="8"/>
    <x v="49"/>
    <d v="2018-03-22T00:00:00"/>
    <x v="39"/>
    <x v="1"/>
    <s v="Контрольная работа №5 &quot;Хобби&quot;"/>
    <n v="747"/>
    <n v="198"/>
    <n v="945"/>
    <n v="0.79"/>
    <n v="27"/>
    <m/>
    <n v="21"/>
    <n v="27"/>
    <n v="4.0999999999999996"/>
    <n v="4.0999999999999996"/>
    <n v="0.81"/>
    <n v="0.79"/>
    <n v="1"/>
    <n v="0"/>
    <n v="0.78"/>
    <n v="0.21"/>
    <n v="0"/>
    <n v="0"/>
    <n v="0"/>
    <n v="0"/>
    <n v="0"/>
    <n v="0"/>
    <n v="1"/>
    <n v="0.79"/>
    <n v="0.85"/>
    <x v="2"/>
    <x v="2"/>
    <x v="1"/>
    <x v="1"/>
    <x v="1"/>
    <x v="3"/>
    <x v="2"/>
  </r>
  <r>
    <s v="/krs/737"/>
    <n v="737"/>
    <s v="02"/>
    <x v="1"/>
    <x v="8"/>
    <x v="61"/>
    <d v="2017-12-07T00:00:00"/>
    <x v="12"/>
    <x v="1"/>
    <s v="глава &quot;Мой класс&quot;"/>
    <n v="544"/>
    <n v="392"/>
    <n v="936"/>
    <n v="0.57999999999999996"/>
    <n v="26"/>
    <m/>
    <n v="8"/>
    <n v="26"/>
    <n v="2.9"/>
    <n v="2.9"/>
    <n v="0.57999999999999996"/>
    <n v="0.57999999999999996"/>
    <n v="0.69"/>
    <n v="0"/>
    <n v="0.31"/>
    <n v="0.42"/>
    <n v="0"/>
    <n v="0"/>
    <n v="0"/>
    <n v="0"/>
    <n v="0"/>
    <n v="0"/>
    <n v="1"/>
    <n v="0.67"/>
    <n v="0"/>
    <x v="2"/>
    <x v="3"/>
    <x v="3"/>
    <x v="1"/>
    <x v="1"/>
    <x v="3"/>
    <x v="2"/>
  </r>
  <r>
    <s v="/krs/738"/>
    <n v="738"/>
    <s v="03"/>
    <x v="1"/>
    <x v="8"/>
    <x v="61"/>
    <d v="2018-02-06T00:00:00"/>
    <x v="12"/>
    <x v="1"/>
    <s v="глава &quot;Животные&quot;"/>
    <n v="748"/>
    <n v="396"/>
    <n v="1144"/>
    <n v="0.65"/>
    <n v="26"/>
    <m/>
    <n v="11"/>
    <n v="26"/>
    <n v="3.4"/>
    <n v="3.4"/>
    <n v="0.68"/>
    <n v="0.65"/>
    <n v="0.77"/>
    <n v="0"/>
    <n v="0.42"/>
    <n v="0.35"/>
    <n v="0"/>
    <n v="0"/>
    <n v="0"/>
    <n v="0"/>
    <n v="0"/>
    <n v="0"/>
    <n v="1"/>
    <n v="0.62"/>
    <n v="0"/>
    <x v="2"/>
    <x v="1"/>
    <x v="1"/>
    <x v="1"/>
    <x v="1"/>
    <x v="3"/>
    <x v="2"/>
  </r>
  <r>
    <s v="/krs/739"/>
    <n v="739"/>
    <s v="04"/>
    <x v="1"/>
    <x v="8"/>
    <x v="61"/>
    <d v="2018-03-13T00:00:00"/>
    <x v="12"/>
    <x v="1"/>
    <s v="глава &quot;Мой школьный день&quot;"/>
    <n v="710"/>
    <n v="451"/>
    <n v="1161"/>
    <n v="0.61"/>
    <n v="27"/>
    <m/>
    <n v="9"/>
    <n v="27"/>
    <n v="3.2"/>
    <n v="3.2"/>
    <n v="0.64"/>
    <n v="0.61"/>
    <n v="0.78"/>
    <n v="0"/>
    <n v="0.33"/>
    <n v="0.39"/>
    <n v="0"/>
    <n v="0"/>
    <n v="0"/>
    <n v="0"/>
    <n v="0"/>
    <n v="0"/>
    <n v="1"/>
    <n v="0.64"/>
    <n v="0"/>
    <x v="2"/>
    <x v="1"/>
    <x v="1"/>
    <x v="1"/>
    <x v="1"/>
    <x v="3"/>
    <x v="2"/>
  </r>
  <r>
    <s v="/krs/740"/>
    <n v="740"/>
    <s v="06"/>
    <x v="1"/>
    <x v="8"/>
    <x v="61"/>
    <d v="2018-05-03T00:00:00"/>
    <x v="12"/>
    <x v="1"/>
    <s v="глава &quot;Семья&quot;"/>
    <n v="457"/>
    <n v="287"/>
    <n v="744"/>
    <n v="0.61"/>
    <n v="24"/>
    <m/>
    <n v="9"/>
    <n v="24"/>
    <n v="3.2"/>
    <n v="3.1"/>
    <n v="0.62"/>
    <n v="0.61"/>
    <n v="0.75"/>
    <n v="0"/>
    <n v="0.38"/>
    <n v="0.39"/>
    <n v="0"/>
    <n v="0"/>
    <n v="0"/>
    <n v="0"/>
    <n v="0"/>
    <n v="0"/>
    <n v="1"/>
    <n v="0.57999999999999996"/>
    <n v="0"/>
    <x v="2"/>
    <x v="1"/>
    <x v="1"/>
    <x v="1"/>
    <x v="1"/>
    <x v="3"/>
    <x v="2"/>
  </r>
  <r>
    <s v="/krs/741"/>
    <n v="741"/>
    <s v="03"/>
    <x v="1"/>
    <x v="8"/>
    <x v="40"/>
    <d v="2017-12-18T00:00:00"/>
    <x v="12"/>
    <x v="1"/>
    <s v="глава &quot;Мое свободное время&quot;"/>
    <n v="1179"/>
    <n v="759"/>
    <n v="1938"/>
    <n v="0.61"/>
    <n v="57"/>
    <m/>
    <n v="16"/>
    <n v="57"/>
    <n v="3.1"/>
    <n v="3.1"/>
    <n v="0.61"/>
    <n v="0.61"/>
    <n v="0.77"/>
    <n v="0.72"/>
    <n v="0.28000000000000003"/>
    <n v="0.39"/>
    <n v="33"/>
    <n v="24"/>
    <n v="4.3"/>
    <n v="1"/>
    <n v="0.85"/>
    <n v="0.73"/>
    <n v="0.15"/>
    <n v="0.6"/>
    <n v="0"/>
    <x v="2"/>
    <x v="1"/>
    <x v="1"/>
    <x v="2"/>
    <x v="1"/>
    <x v="2"/>
    <x v="2"/>
  </r>
  <r>
    <s v="/krs/742"/>
    <n v="742"/>
    <s v="05"/>
    <x v="1"/>
    <x v="8"/>
    <x v="40"/>
    <d v="2018-03-15T00:00:00"/>
    <x v="12"/>
    <x v="1"/>
    <s v="глава &quot;Вечеринки&quot;"/>
    <n v="1214"/>
    <n v="826"/>
    <n v="2040"/>
    <n v="0.6"/>
    <n v="60"/>
    <m/>
    <n v="22"/>
    <n v="60"/>
    <n v="3.1"/>
    <n v="3.1"/>
    <n v="0.62"/>
    <n v="0.6"/>
    <n v="0.75"/>
    <n v="0.7"/>
    <n v="0.37"/>
    <n v="0.4"/>
    <n v="35"/>
    <n v="26"/>
    <n v="4.3"/>
    <n v="1"/>
    <n v="0.86"/>
    <n v="0.74"/>
    <n v="0.14000000000000001"/>
    <n v="0.62"/>
    <n v="0"/>
    <x v="2"/>
    <x v="1"/>
    <x v="1"/>
    <x v="2"/>
    <x v="1"/>
    <x v="2"/>
    <x v="2"/>
  </r>
  <r>
    <s v="/krs/744"/>
    <n v="744"/>
    <s v=" 06"/>
    <x v="1"/>
    <x v="8"/>
    <x v="40"/>
    <d v="2018-04-30T00:00:00"/>
    <x v="12"/>
    <x v="1"/>
    <s v="глава &quot;Город&quot;"/>
    <n v="1314"/>
    <n v="1442"/>
    <n v="2756"/>
    <n v="0.48"/>
    <n v="52"/>
    <m/>
    <n v="9"/>
    <n v="52"/>
    <n v="2.6"/>
    <n v="2.6"/>
    <n v="0.52"/>
    <n v="0.48"/>
    <n v="0.48"/>
    <n v="0.56000000000000005"/>
    <n v="0.17"/>
    <n v="0.52"/>
    <n v="33"/>
    <n v="24"/>
    <n v="4.3"/>
    <n v="1"/>
    <n v="0.86"/>
    <n v="0.73"/>
    <n v="0.14000000000000001"/>
    <n v="0.53"/>
    <n v="0"/>
    <x v="2"/>
    <x v="3"/>
    <x v="2"/>
    <x v="2"/>
    <x v="1"/>
    <x v="2"/>
    <x v="2"/>
  </r>
  <r>
    <s v="/krs/745"/>
    <n v="745"/>
    <s v="04"/>
    <x v="1"/>
    <x v="8"/>
    <x v="40"/>
    <d v="2018-02-09T00:00:00"/>
    <x v="12"/>
    <x v="1"/>
    <s v="глава &quot;Смотрится отлично&quot;"/>
    <n v="716"/>
    <n v="649"/>
    <n v="1365"/>
    <n v="0.52"/>
    <n v="35"/>
    <m/>
    <n v="8"/>
    <n v="35"/>
    <n v="2.7"/>
    <n v="2.7"/>
    <n v="0.54"/>
    <n v="0.52"/>
    <n v="0.51"/>
    <n v="0.59"/>
    <n v="0.23"/>
    <n v="0.48"/>
    <n v="21"/>
    <n v="17"/>
    <n v="4.4000000000000004"/>
    <n v="1"/>
    <n v="0.88"/>
    <n v="0.81"/>
    <n v="0.12"/>
    <n v="0.52"/>
    <n v="0"/>
    <x v="2"/>
    <x v="3"/>
    <x v="3"/>
    <x v="2"/>
    <x v="1"/>
    <x v="2"/>
    <x v="2"/>
  </r>
  <r>
    <s v="/krs/746"/>
    <n v="746"/>
    <s v="06"/>
    <x v="1"/>
    <x v="8"/>
    <x v="49"/>
    <d v="2018-05-08T00:00:00"/>
    <x v="39"/>
    <x v="1"/>
    <s v="Контрольная работа №6 &quot;Моя семья&quot;"/>
    <n v="613"/>
    <n v="332"/>
    <n v="945"/>
    <n v="0.65"/>
    <n v="23"/>
    <m/>
    <n v="15"/>
    <n v="23"/>
    <n v="4"/>
    <n v="4"/>
    <n v="0.79"/>
    <n v="0.65"/>
    <n v="0.96"/>
    <n v="0"/>
    <n v="0.65"/>
    <n v="0.35"/>
    <n v="0"/>
    <n v="0"/>
    <n v="0"/>
    <n v="0"/>
    <n v="0"/>
    <n v="0"/>
    <n v="1"/>
    <n v="0.65"/>
    <n v="0.66"/>
    <x v="1"/>
    <x v="1"/>
    <x v="1"/>
    <x v="1"/>
    <x v="1"/>
    <x v="3"/>
    <x v="2"/>
  </r>
  <r>
    <s v="/krs/747"/>
    <n v="747"/>
    <s v="02"/>
    <x v="1"/>
    <x v="8"/>
    <x v="40"/>
    <d v="2017-11-16T00:00:00"/>
    <x v="12"/>
    <x v="1"/>
    <s v="глава &quot;Это вкусно&quot;"/>
    <n v="1348"/>
    <n v="624"/>
    <n v="1972"/>
    <n v="0.68"/>
    <n v="58"/>
    <m/>
    <n v="25"/>
    <n v="58"/>
    <n v="3.5"/>
    <n v="3.5"/>
    <n v="0.69"/>
    <n v="0.68"/>
    <n v="0.98"/>
    <n v="0.81"/>
    <n v="0.43"/>
    <n v="0.32"/>
    <n v="33"/>
    <n v="24"/>
    <n v="4.2"/>
    <n v="1"/>
    <n v="0.84"/>
    <n v="0.73"/>
    <n v="0.16"/>
    <n v="0.65"/>
    <n v="0"/>
    <x v="2"/>
    <x v="1"/>
    <x v="1"/>
    <x v="2"/>
    <x v="1"/>
    <x v="2"/>
    <x v="2"/>
  </r>
  <r>
    <s v="/krs/748"/>
    <n v="748"/>
    <s v="02"/>
    <x v="1"/>
    <x v="8"/>
    <x v="6"/>
    <d v="2017-11-22T00:00:00"/>
    <x v="12"/>
    <x v="1"/>
    <s v="глава &quot;Школьный обмен&quot;"/>
    <n v="1095"/>
    <n v="627"/>
    <n v="1722"/>
    <n v="0.64"/>
    <n v="42"/>
    <m/>
    <n v="22"/>
    <n v="42"/>
    <n v="3.4"/>
    <n v="3.4"/>
    <n v="0.69"/>
    <n v="0.64"/>
    <n v="0.76"/>
    <n v="0"/>
    <n v="0.52"/>
    <n v="0.36"/>
    <n v="0"/>
    <n v="0"/>
    <n v="0"/>
    <n v="0"/>
    <n v="0"/>
    <n v="0"/>
    <n v="1"/>
    <n v="0.61"/>
    <n v="0"/>
    <x v="2"/>
    <x v="1"/>
    <x v="1"/>
    <x v="1"/>
    <x v="1"/>
    <x v="3"/>
    <x v="2"/>
  </r>
  <r>
    <s v="/krs/749"/>
    <n v="749"/>
    <s v="03"/>
    <x v="1"/>
    <x v="8"/>
    <x v="6"/>
    <d v="2017-12-18T00:00:00"/>
    <x v="12"/>
    <x v="1"/>
    <s v="глава &quot;Праздники&quot;"/>
    <n v="1090"/>
    <n v="575"/>
    <n v="1665"/>
    <n v="0.65"/>
    <n v="45"/>
    <m/>
    <n v="18"/>
    <n v="45"/>
    <n v="3.3"/>
    <n v="3.3"/>
    <n v="0.66"/>
    <n v="0.65"/>
    <n v="0.76"/>
    <n v="0"/>
    <n v="0.4"/>
    <n v="0.35"/>
    <n v="0"/>
    <n v="0"/>
    <n v="0"/>
    <n v="0"/>
    <n v="0"/>
    <n v="0"/>
    <n v="1"/>
    <n v="0.64"/>
    <n v="0"/>
    <x v="2"/>
    <x v="1"/>
    <x v="1"/>
    <x v="1"/>
    <x v="1"/>
    <x v="3"/>
    <x v="2"/>
  </r>
  <r>
    <s v="/krs/750"/>
    <n v="750"/>
    <s v="04"/>
    <x v="1"/>
    <x v="8"/>
    <x v="6"/>
    <d v="2018-02-07T00:00:00"/>
    <x v="12"/>
    <x v="1"/>
    <s v="глава &quot;Воздух Берлина&quot;"/>
    <n v="607"/>
    <n v="653"/>
    <n v="1260"/>
    <n v="0.48"/>
    <n v="42"/>
    <m/>
    <n v="10"/>
    <n v="42"/>
    <n v="2.6"/>
    <n v="2.6"/>
    <n v="0.53"/>
    <n v="0.48"/>
    <n v="0.5"/>
    <n v="0"/>
    <n v="0.24"/>
    <n v="0.52"/>
    <n v="0"/>
    <n v="0"/>
    <n v="0"/>
    <n v="0"/>
    <n v="0"/>
    <n v="0"/>
    <n v="1"/>
    <n v="0.47"/>
    <n v="0"/>
    <x v="2"/>
    <x v="3"/>
    <x v="3"/>
    <x v="1"/>
    <x v="1"/>
    <x v="3"/>
    <x v="2"/>
  </r>
  <r>
    <s v="/krs/751"/>
    <n v="751"/>
    <s v="05"/>
    <x v="1"/>
    <x v="8"/>
    <x v="6"/>
    <d v="2018-03-12T00:00:00"/>
    <x v="12"/>
    <x v="1"/>
    <s v="глава &quot;Окружающий мир&quot;"/>
    <n v="915"/>
    <n v="542"/>
    <n v="1457"/>
    <n v="0.63"/>
    <n v="47"/>
    <m/>
    <n v="20"/>
    <n v="47"/>
    <n v="3.2"/>
    <n v="3.2"/>
    <n v="0.65"/>
    <n v="0.63"/>
    <n v="0.7"/>
    <n v="0"/>
    <n v="0.43"/>
    <n v="0.37"/>
    <n v="0"/>
    <n v="0"/>
    <n v="0"/>
    <n v="0"/>
    <n v="0"/>
    <n v="0"/>
    <n v="1"/>
    <n v="0.6"/>
    <n v="0"/>
    <x v="2"/>
    <x v="1"/>
    <x v="1"/>
    <x v="1"/>
    <x v="1"/>
    <x v="3"/>
    <x v="2"/>
  </r>
  <r>
    <s v="/krs/752"/>
    <n v="752"/>
    <s v="06"/>
    <x v="1"/>
    <x v="8"/>
    <x v="6"/>
    <d v="2018-04-30T00:00:00"/>
    <x v="12"/>
    <x v="1"/>
    <s v="глава &quot;Путешествие по Рейну&quot;"/>
    <n v="771"/>
    <n v="329"/>
    <n v="1100"/>
    <n v="0.7"/>
    <n v="44"/>
    <m/>
    <n v="23"/>
    <n v="44"/>
    <n v="3.6"/>
    <n v="3.6"/>
    <n v="0.72"/>
    <n v="0.7"/>
    <n v="0.8"/>
    <n v="0"/>
    <n v="0.52"/>
    <n v="0.3"/>
    <n v="0"/>
    <n v="0"/>
    <n v="0"/>
    <n v="0"/>
    <n v="0"/>
    <n v="0"/>
    <n v="1"/>
    <n v="0.71"/>
    <n v="0"/>
    <x v="2"/>
    <x v="2"/>
    <x v="1"/>
    <x v="1"/>
    <x v="1"/>
    <x v="3"/>
    <x v="2"/>
  </r>
  <r>
    <s v="/krs/753"/>
    <n v="753"/>
    <s v="07"/>
    <x v="1"/>
    <x v="8"/>
    <x v="49"/>
    <d v="2018-05-24T00:00:00"/>
    <x v="39"/>
    <x v="1"/>
    <s v="Контрольная работа№7&quot; Сколько это стоит&quot;"/>
    <n v="708"/>
    <n v="372"/>
    <n v="1080"/>
    <n v="0.66"/>
    <n v="24"/>
    <m/>
    <n v="13"/>
    <n v="24"/>
    <n v="3.7"/>
    <n v="3.6"/>
    <n v="0.72"/>
    <n v="0.66"/>
    <n v="1"/>
    <n v="0"/>
    <n v="0.54"/>
    <n v="0.34"/>
    <n v="0"/>
    <n v="0"/>
    <n v="0"/>
    <n v="0"/>
    <n v="0"/>
    <n v="0"/>
    <n v="1"/>
    <n v="0.66"/>
    <n v="0"/>
    <x v="2"/>
    <x v="1"/>
    <x v="1"/>
    <x v="1"/>
    <x v="1"/>
    <x v="3"/>
    <x v="2"/>
  </r>
  <r>
    <s v="/krs/754"/>
    <n v="754"/>
    <s v="01"/>
    <x v="1"/>
    <x v="8"/>
    <x v="62"/>
    <d v="2017-11-22T00:00:00"/>
    <x v="12"/>
    <x v="1"/>
    <m/>
    <n v="417"/>
    <n v="303"/>
    <n v="720"/>
    <n v="0.57999999999999996"/>
    <n v="24"/>
    <m/>
    <n v="9"/>
    <n v="24"/>
    <n v="3"/>
    <n v="3"/>
    <n v="0.61"/>
    <n v="0.57999999999999996"/>
    <n v="0.57999999999999996"/>
    <n v="0"/>
    <n v="0.38"/>
    <n v="0.42"/>
    <n v="0"/>
    <n v="0"/>
    <n v="0"/>
    <n v="0"/>
    <n v="0"/>
    <n v="0"/>
    <n v="1"/>
    <n v="0.55000000000000004"/>
    <n v="0"/>
    <x v="2"/>
    <x v="3"/>
    <x v="3"/>
    <x v="1"/>
    <x v="1"/>
    <x v="3"/>
    <x v="2"/>
  </r>
  <r>
    <s v="/krs/755"/>
    <n v="755"/>
    <s v="03"/>
    <x v="1"/>
    <x v="8"/>
    <x v="62"/>
    <d v="2018-03-14T00:00:00"/>
    <x v="12"/>
    <x v="1"/>
    <s v="глава &quot;Выбор профессии&quot;"/>
    <n v="439"/>
    <n v="311"/>
    <n v="750"/>
    <n v="0.59"/>
    <n v="25"/>
    <m/>
    <n v="10"/>
    <n v="25"/>
    <n v="3.2"/>
    <n v="3.2"/>
    <n v="0.64"/>
    <n v="0.59"/>
    <n v="0.84"/>
    <n v="0"/>
    <n v="0.4"/>
    <n v="0.41"/>
    <n v="0"/>
    <n v="0"/>
    <n v="0"/>
    <n v="0"/>
    <n v="0"/>
    <n v="0"/>
    <n v="1"/>
    <n v="0.51"/>
    <n v="0"/>
    <x v="2"/>
    <x v="3"/>
    <x v="1"/>
    <x v="1"/>
    <x v="1"/>
    <x v="3"/>
    <x v="2"/>
  </r>
  <r>
    <s v="/krs/756"/>
    <n v="756"/>
    <s v="04"/>
    <x v="1"/>
    <x v="8"/>
    <x v="62"/>
    <d v="2018-04-28T00:00:00"/>
    <x v="12"/>
    <x v="1"/>
    <s v="глава &quot;СМИ&quot;"/>
    <n v="421"/>
    <n v="591"/>
    <n v="1012"/>
    <n v="0.42"/>
    <n v="23"/>
    <m/>
    <n v="1"/>
    <n v="23"/>
    <n v="2.4"/>
    <n v="2.4"/>
    <n v="0.49"/>
    <n v="0.42"/>
    <n v="0.39"/>
    <n v="0"/>
    <n v="0.04"/>
    <n v="0.57999999999999996"/>
    <n v="0"/>
    <n v="0"/>
    <n v="0"/>
    <n v="0"/>
    <n v="0"/>
    <n v="0"/>
    <n v="1"/>
    <n v="0.44"/>
    <n v="0"/>
    <x v="2"/>
    <x v="3"/>
    <x v="2"/>
    <x v="1"/>
    <x v="2"/>
    <x v="3"/>
    <x v="2"/>
  </r>
  <r>
    <s v="/krs/758"/>
    <n v="758"/>
    <s v="758 итог 9А, 9Б, 9В"/>
    <x v="2"/>
    <x v="9"/>
    <x v="18"/>
    <d v="2018-05-31T00:00:00"/>
    <x v="24"/>
    <x v="0"/>
    <m/>
    <m/>
    <m/>
    <m/>
    <m/>
    <m/>
    <m/>
    <m/>
    <m/>
    <m/>
    <m/>
    <m/>
    <m/>
    <m/>
    <m/>
    <m/>
    <m/>
    <m/>
    <m/>
    <m/>
    <m/>
    <m/>
    <m/>
    <m/>
    <m/>
    <m/>
    <x v="0"/>
    <x v="0"/>
    <x v="0"/>
    <x v="0"/>
    <x v="0"/>
    <x v="0"/>
    <x v="0"/>
  </r>
  <r>
    <s v="/krs/759"/>
    <n v="759"/>
    <s v="759 экз 9А, 9Б, 9В"/>
    <x v="2"/>
    <x v="9"/>
    <x v="18"/>
    <d v="2018-07-12T18:35:04"/>
    <x v="24"/>
    <x v="0"/>
    <m/>
    <n v="1025"/>
    <n v="262"/>
    <n v="1287"/>
    <n v="0.8"/>
    <n v="33"/>
    <m/>
    <n v="26"/>
    <n v="33"/>
    <n v="4.0999999999999996"/>
    <n v="3.9"/>
    <n v="0.78"/>
    <n v="0.8"/>
    <n v="1"/>
    <n v="0.99"/>
    <n v="0.79"/>
    <n v="0.2"/>
    <n v="22"/>
    <n v="11"/>
    <n v="4"/>
    <n v="1"/>
    <n v="0.81"/>
    <n v="0.5"/>
    <n v="0.19"/>
    <n v="0.85"/>
    <n v="0.77"/>
    <x v="2"/>
    <x v="2"/>
    <x v="1"/>
    <x v="1"/>
    <x v="1"/>
    <x v="3"/>
    <x v="1"/>
  </r>
  <r>
    <s v="/krs/760"/>
    <n v="760"/>
    <s v="760 экз 9А, 9Б, 9В"/>
    <x v="2"/>
    <x v="6"/>
    <x v="18"/>
    <d v="2018-07-12T21:41:34"/>
    <x v="24"/>
    <x v="0"/>
    <m/>
    <n v="145"/>
    <n v="75"/>
    <n v="220"/>
    <n v="0.66"/>
    <n v="5"/>
    <m/>
    <n v="3"/>
    <n v="5"/>
    <n v="3.6"/>
    <n v="3.6"/>
    <n v="0.72"/>
    <n v="0.66"/>
    <n v="1"/>
    <n v="0.8"/>
    <n v="0.6"/>
    <n v="0.34"/>
    <n v="4"/>
    <n v="4"/>
    <n v="4.0999999999999996"/>
    <n v="1"/>
    <n v="0.82"/>
    <n v="1"/>
    <n v="0.18"/>
    <n v="0.75"/>
    <n v="0.64"/>
    <x v="2"/>
    <x v="1"/>
    <x v="1"/>
    <x v="2"/>
    <x v="1"/>
    <x v="2"/>
    <x v="2"/>
  </r>
  <r>
    <s v="/krs/761"/>
    <n v="761"/>
    <s v="761 экз 9А, 9Б, 9В"/>
    <x v="2"/>
    <x v="10"/>
    <x v="18"/>
    <d v="2018-08-25T10:53:07"/>
    <x v="27"/>
    <x v="0"/>
    <s v="ОГЭ"/>
    <m/>
    <m/>
    <m/>
    <m/>
    <m/>
    <m/>
    <m/>
    <m/>
    <m/>
    <m/>
    <m/>
    <m/>
    <m/>
    <m/>
    <m/>
    <m/>
    <m/>
    <m/>
    <m/>
    <m/>
    <m/>
    <m/>
    <m/>
    <m/>
    <m/>
    <x v="0"/>
    <x v="0"/>
    <x v="0"/>
    <x v="0"/>
    <x v="0"/>
    <x v="0"/>
    <x v="0"/>
  </r>
  <r>
    <s v="/krs/762"/>
    <n v="762"/>
    <s v="1"/>
    <x v="0"/>
    <x v="11"/>
    <x v="26"/>
    <d v="2018-09-04T14:14:09"/>
    <x v="17"/>
    <x v="0"/>
    <s v="скопирована из ид: 534 № 1"/>
    <n v="77"/>
    <n v="203"/>
    <n v="280"/>
    <n v="0.28000000000000003"/>
    <n v="7"/>
    <m/>
    <n v="2"/>
    <n v="7"/>
    <n v="3"/>
    <n v="3"/>
    <n v="0.6"/>
    <n v="0.28000000000000003"/>
    <n v="0.71"/>
    <n v="0.31"/>
    <n v="0.28999999999999998"/>
    <n v="0.72"/>
    <n v="8"/>
    <n v="8"/>
    <n v="4.5"/>
    <n v="1"/>
    <n v="0.89"/>
    <n v="1"/>
    <n v="0.11"/>
    <n v="0.34"/>
    <n v="0.2"/>
    <x v="1"/>
    <x v="3"/>
    <x v="1"/>
    <x v="2"/>
    <x v="1"/>
    <x v="2"/>
    <x v="2"/>
  </r>
  <r>
    <s v="/krs/767"/>
    <n v="767"/>
    <s v="767 вх"/>
    <x v="0"/>
    <x v="17"/>
    <x v="89"/>
    <d v="2018-09-07T00:00:00"/>
    <x v="3"/>
    <x v="0"/>
    <s v="Входная контрольная работа в 8 классах_x000a_скопирована из ид: 489 № ИКР"/>
    <m/>
    <m/>
    <m/>
    <m/>
    <m/>
    <m/>
    <m/>
    <m/>
    <m/>
    <m/>
    <m/>
    <m/>
    <m/>
    <m/>
    <m/>
    <m/>
    <m/>
    <m/>
    <m/>
    <m/>
    <m/>
    <m/>
    <m/>
    <m/>
    <m/>
    <x v="0"/>
    <x v="0"/>
    <x v="0"/>
    <x v="0"/>
    <x v="0"/>
    <x v="0"/>
    <x v="0"/>
  </r>
  <r>
    <s v="/krs/768"/>
    <n v="768"/>
    <s v="768 вх"/>
    <x v="0"/>
    <x v="10"/>
    <x v="60"/>
    <d v="2018-09-06T00:00:00"/>
    <x v="27"/>
    <x v="0"/>
    <s v="Входной контроль"/>
    <m/>
    <m/>
    <m/>
    <m/>
    <m/>
    <m/>
    <m/>
    <m/>
    <m/>
    <m/>
    <m/>
    <m/>
    <m/>
    <m/>
    <m/>
    <m/>
    <m/>
    <m/>
    <m/>
    <m/>
    <m/>
    <m/>
    <m/>
    <m/>
    <m/>
    <x v="0"/>
    <x v="0"/>
    <x v="0"/>
    <x v="0"/>
    <x v="0"/>
    <x v="0"/>
    <x v="0"/>
  </r>
  <r>
    <s v="/krs/770"/>
    <n v="770"/>
    <s v="1"/>
    <x v="0"/>
    <x v="17"/>
    <x v="89"/>
    <d v="2018-09-06T00:00:00"/>
    <x v="8"/>
    <x v="0"/>
    <s v="20 заданий: 16 - базового уровня, 4 - повышенного; из них - 3 - с выбором ответа, 1 - с развёрнутым ответом:1. Соблюдение норм построения текста.  2.Определение средств связи предложений в тексте. 3.Выделение в предложении грамматической основы. 4.Грамматические нормы  - выбор неверного варианта форм глагола (причастия и деепричастия). 5.Определение самостоятельных частей речи в тексте. 6, 17. Определение темы, основной мысли текста, функционально-смыслового типа текста или его фрагмента. 7.Адекватное понимание информации сообщения. 8, 11.Правописание Н и НН в различных частях речи. 9.Классификация самостоятельных частей речи. 10.Классификация служебных частей речи. 12.Слитное и раздельное написание НЕ с  различными частями речи. 13-15. Классификация служебных и самостоятельных частей речи. 16. Правописание личных окончаний глаголов и суффиксов причастий. 18. Соблюдение синтаксических норм построения текста. 19. Пунктуационный анализ. 20. Нахождение обособленных обстоятельств"/>
    <m/>
    <m/>
    <m/>
    <m/>
    <m/>
    <m/>
    <m/>
    <m/>
    <m/>
    <m/>
    <m/>
    <m/>
    <m/>
    <m/>
    <m/>
    <m/>
    <m/>
    <m/>
    <m/>
    <m/>
    <m/>
    <m/>
    <m/>
    <m/>
    <m/>
    <x v="0"/>
    <x v="0"/>
    <x v="0"/>
    <x v="0"/>
    <x v="0"/>
    <x v="0"/>
    <x v="0"/>
  </r>
  <r>
    <s v="/krs/780"/>
    <n v="780"/>
    <s v="780 экз"/>
    <x v="1"/>
    <x v="17"/>
    <x v="89"/>
    <d v="2018-09-14T17:11:38"/>
    <x v="17"/>
    <x v="0"/>
    <s v="скопирована из ид: 726_x000a_№ ОГЭ по информатике от 31.05.2018_x000a_информатика 9А, 9Б, 9В_x000a_ИНФ-9 КОДИФ 2017"/>
    <n v="0"/>
    <n v="0"/>
    <n v="0"/>
    <n v="0"/>
    <n v="0"/>
    <m/>
    <n v="0"/>
    <n v="0"/>
    <n v="0"/>
    <n v="0"/>
    <n v="0"/>
    <n v="0"/>
    <n v="0"/>
    <n v="0"/>
    <n v="0"/>
    <n v="1"/>
    <n v="0"/>
    <n v="0"/>
    <n v="0"/>
    <n v="0"/>
    <n v="0"/>
    <n v="0"/>
    <n v="1"/>
    <m/>
    <m/>
    <x v="2"/>
    <x v="3"/>
    <x v="2"/>
    <x v="1"/>
    <x v="2"/>
    <x v="3"/>
    <x v="2"/>
  </r>
  <r>
    <s v="/krs/825"/>
    <n v="825"/>
    <s v="825 вх"/>
    <x v="0"/>
    <x v="8"/>
    <x v="24"/>
    <d v="2018-09-16T21:56:48"/>
    <x v="39"/>
    <x v="0"/>
    <s v="Входнаяконтрольная работа за курс 5 класса_x000a_"/>
    <n v="19"/>
    <n v="275"/>
    <n v="294"/>
    <n v="0.06"/>
    <n v="1"/>
    <m/>
    <n v="1"/>
    <n v="1"/>
    <n v="5"/>
    <n v="5"/>
    <n v="1"/>
    <n v="0.06"/>
    <n v="1"/>
    <n v="0"/>
    <n v="1"/>
    <n v="0.94"/>
    <n v="0"/>
    <n v="0"/>
    <n v="0"/>
    <n v="0"/>
    <n v="0"/>
    <n v="0"/>
    <n v="1"/>
    <n v="0.06"/>
    <n v="0"/>
    <x v="1"/>
    <x v="3"/>
    <x v="1"/>
    <x v="1"/>
    <x v="1"/>
    <x v="3"/>
    <x v="2"/>
  </r>
  <r>
    <s v="/krs/853"/>
    <n v="853"/>
    <s v="853 итог"/>
    <x v="4"/>
    <x v="17"/>
    <x v="89"/>
    <d v="2018-09-19T22:23:50"/>
    <x v="8"/>
    <x v="0"/>
    <s v="_x000a__x000a_скопирована из ид: 537_x000a_№ ИКР от 15.05.2018_x000a_русский язык 5А, 5Б, 5В, 5Г_x000a_РУ-9 КОДИФ 2016"/>
    <m/>
    <m/>
    <m/>
    <m/>
    <m/>
    <m/>
    <m/>
    <m/>
    <m/>
    <m/>
    <m/>
    <m/>
    <m/>
    <m/>
    <m/>
    <m/>
    <m/>
    <m/>
    <m/>
    <m/>
    <m/>
    <m/>
    <m/>
    <m/>
    <m/>
    <x v="0"/>
    <x v="0"/>
    <x v="0"/>
    <x v="0"/>
    <x v="0"/>
    <x v="0"/>
    <x v="0"/>
  </r>
  <r>
    <s v="/krs/858"/>
    <n v="858"/>
    <s v="858 итог"/>
    <x v="4"/>
    <x v="17"/>
    <x v="89"/>
    <d v="2018-09-20T09:24:18"/>
    <x v="43"/>
    <x v="0"/>
    <s v="Административная итоговая контрольная работа_x000a__x000a_скопирована из ид: 644_x000a_№ 644 итог 4А, 4Г от 16.05.2018_x000a_математика 4А, 4Г_x000a_МА-4 КОДИФ 2018"/>
    <m/>
    <m/>
    <m/>
    <m/>
    <m/>
    <m/>
    <m/>
    <m/>
    <m/>
    <m/>
    <m/>
    <m/>
    <m/>
    <m/>
    <m/>
    <m/>
    <m/>
    <m/>
    <m/>
    <m/>
    <m/>
    <m/>
    <m/>
    <m/>
    <m/>
    <x v="0"/>
    <x v="0"/>
    <x v="0"/>
    <x v="0"/>
    <x v="0"/>
    <x v="0"/>
    <x v="0"/>
  </r>
  <r>
    <s v="/krs/869"/>
    <n v="869"/>
    <s v="1"/>
    <x v="4"/>
    <x v="17"/>
    <x v="89"/>
    <d v="2018-09-22T09:35:16"/>
    <x v="5"/>
    <x v="0"/>
    <s v="скопирована из ид: 598 № 598 итог 8Б_x000a_скопирована из ид: 602 № 602 итог 8В, 8Г_x000a_скопирована из ид: 632_x000a_№ 632 итог 8Б, 8В, 8Г, 8Д от 13.05.2018_x000a_английский язык 8А, 8Б, 8В, 8Г, 8Д_x000a_ЯА-9 КОДИФ 2016"/>
    <m/>
    <m/>
    <m/>
    <m/>
    <m/>
    <m/>
    <m/>
    <m/>
    <m/>
    <m/>
    <m/>
    <m/>
    <m/>
    <m/>
    <m/>
    <m/>
    <m/>
    <m/>
    <m/>
    <m/>
    <m/>
    <m/>
    <m/>
    <m/>
    <m/>
    <x v="0"/>
    <x v="0"/>
    <x v="0"/>
    <x v="0"/>
    <x v="0"/>
    <x v="0"/>
    <x v="0"/>
  </r>
  <r>
    <s v="/krs/901"/>
    <n v="901"/>
    <s v="01"/>
    <x v="0"/>
    <x v="3"/>
    <x v="19"/>
    <d v="2018-09-24T16:05:32"/>
    <x v="14"/>
    <x v="0"/>
    <s v="Итоговая контрольная работа по биологии за курс 6 класса_x000a_скопирована из ид: 497_x000a_№ ИКР от 18.04.2018_x000a_биология 6Д_x000a_БИ-9 КОДИФ 2016"/>
    <m/>
    <m/>
    <m/>
    <m/>
    <m/>
    <m/>
    <m/>
    <m/>
    <m/>
    <m/>
    <m/>
    <m/>
    <m/>
    <m/>
    <m/>
    <m/>
    <m/>
    <m/>
    <m/>
    <m/>
    <m/>
    <m/>
    <m/>
    <m/>
    <m/>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4" applyNumberFormats="0" applyBorderFormats="0" applyFontFormats="0" applyPatternFormats="0" applyAlignmentFormats="0" applyWidthHeightFormats="1" dataCaption="Values" updatedVersion="6" minRefreshableVersion="3" useAutoFormatting="1" colGrandTotals="0" itemPrintTitles="1" createdVersion="3" indent="0">
  <location ref="A12:S32" firstHeaderRow="1" firstDataRow="2" firstDataCol="2" rowPageCount="10" colPageCount="1"/>
  <pivotFields count="42">
    <pivotField showAll="0"/>
    <pivotField dataField="1" showAll="0"/>
    <pivotField showAll="0"/>
    <pivotField axis="axisPage" showAll="0">
      <items count="7">
        <item x="0"/>
        <item x="1"/>
        <item x="2"/>
        <item x="3"/>
        <item x="4"/>
        <item x="5"/>
        <item t="default"/>
      </items>
    </pivotField>
    <pivotField axis="axisRow" outline="0" showAll="0" defaultSubtotal="0">
      <items count="20">
        <item m="1" x="19"/>
        <item m="1" x="18"/>
        <item sd="0" x="0"/>
        <item sd="0" x="1"/>
        <item sd="0" x="2"/>
        <item sd="0" x="3"/>
        <item sd="0" x="4"/>
        <item sd="0" x="5"/>
        <item sd="0" x="6"/>
        <item sd="0" x="7"/>
        <item sd="0" x="8"/>
        <item sd="0" x="9"/>
        <item sd="0" x="10"/>
        <item sd="0" x="11"/>
        <item sd="0" x="12"/>
        <item sd="0" x="13"/>
        <item sd="0" x="14"/>
        <item sd="0" x="15"/>
        <item sd="0" x="16"/>
        <item sd="0" x="17"/>
      </items>
    </pivotField>
    <pivotField axis="axisPage" showAll="0">
      <items count="10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t="default"/>
      </items>
    </pivotField>
    <pivotField showAll="0"/>
    <pivotField axis="axisRow" outline="0" showAll="0" defaultSubtotal="0">
      <items count="62">
        <item m="1" x="61"/>
        <item m="1" x="6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s>
    </pivotField>
    <pivotField axis="axisPage" showAll="0">
      <items count="5">
        <item x="0"/>
        <item x="1"/>
        <item x="2"/>
        <item x="3"/>
        <item t="default"/>
      </items>
    </pivotField>
    <pivotField showAll="0"/>
    <pivotField showAll="0"/>
    <pivotField showAll="0"/>
    <pivotField showAll="0"/>
    <pivotField dataField="1"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showAll="0"/>
    <pivotField dataField="1" showAll="0"/>
    <pivotField dataField="1" showAll="0"/>
    <pivotField dataField="1" showAll="0"/>
    <pivotField dataField="1" showAll="0"/>
    <pivotField dataField="1" showAll="0"/>
    <pivotField dataField="1" showAll="0"/>
    <pivotField dataField="1" showAll="0"/>
    <pivotField axis="axisPage" showAll="0">
      <items count="4">
        <item x="0"/>
        <item x="1"/>
        <item x="2"/>
        <item t="default"/>
      </items>
    </pivotField>
    <pivotField axis="axisPage" multipleItemSelectionAllowed="1" showAll="0">
      <items count="5">
        <item x="0"/>
        <item x="1"/>
        <item x="2"/>
        <item x="3"/>
        <item t="default"/>
      </items>
    </pivotField>
    <pivotField axis="axisPage" multipleItemSelectionAllowed="1" showAll="0">
      <items count="5">
        <item x="0"/>
        <item x="1"/>
        <item x="2"/>
        <item x="3"/>
        <item t="default"/>
      </items>
    </pivotField>
    <pivotField axis="axisPage" showAll="0">
      <items count="5">
        <item x="0"/>
        <item x="1"/>
        <item x="2"/>
        <item x="3"/>
        <item t="default"/>
      </items>
    </pivotField>
    <pivotField axis="axisPage" showAll="0">
      <items count="4">
        <item x="0"/>
        <item x="1"/>
        <item x="2"/>
        <item t="default"/>
      </items>
    </pivotField>
    <pivotField axis="axisPage" showAll="0">
      <items count="5">
        <item x="0"/>
        <item x="1"/>
        <item x="2"/>
        <item x="3"/>
        <item t="default"/>
      </items>
    </pivotField>
    <pivotField axis="axisPage" showAll="0">
      <items count="4">
        <item x="0"/>
        <item x="1"/>
        <item x="2"/>
        <item t="default"/>
      </items>
    </pivotField>
  </pivotFields>
  <rowFields count="2">
    <field x="4"/>
    <field x="7"/>
  </rowFields>
  <rowItems count="19">
    <i>
      <x v="2"/>
    </i>
    <i>
      <x v="3"/>
    </i>
    <i>
      <x v="4"/>
    </i>
    <i>
      <x v="5"/>
    </i>
    <i>
      <x v="6"/>
    </i>
    <i>
      <x v="7"/>
    </i>
    <i>
      <x v="8"/>
    </i>
    <i>
      <x v="9"/>
    </i>
    <i>
      <x v="10"/>
    </i>
    <i>
      <x v="11"/>
    </i>
    <i>
      <x v="12"/>
    </i>
    <i>
      <x v="13"/>
    </i>
    <i>
      <x v="14"/>
    </i>
    <i>
      <x v="15"/>
    </i>
    <i>
      <x v="16"/>
    </i>
    <i>
      <x v="17"/>
    </i>
    <i>
      <x v="18"/>
    </i>
    <i>
      <x v="19"/>
    </i>
    <i t="grand">
      <x/>
    </i>
  </rowItems>
  <colFields count="1">
    <field x="-2"/>
  </colFields>
  <colItems count="17">
    <i>
      <x/>
    </i>
    <i i="1">
      <x v="1"/>
    </i>
    <i i="2">
      <x v="2"/>
    </i>
    <i i="3">
      <x v="3"/>
    </i>
    <i i="4">
      <x v="4"/>
    </i>
    <i i="5">
      <x v="5"/>
    </i>
    <i i="6">
      <x v="6"/>
    </i>
    <i i="7">
      <x v="7"/>
    </i>
    <i i="8">
      <x v="8"/>
    </i>
    <i i="9">
      <x v="9"/>
    </i>
    <i i="10">
      <x v="10"/>
    </i>
    <i i="11">
      <x v="11"/>
    </i>
    <i i="12">
      <x v="12"/>
    </i>
    <i i="13">
      <x v="13"/>
    </i>
    <i i="14">
      <x v="14"/>
    </i>
    <i i="15">
      <x v="15"/>
    </i>
    <i i="16">
      <x v="16"/>
    </i>
  </colItems>
  <pageFields count="10">
    <pageField fld="5" hier="-1"/>
    <pageField fld="3" hier="-1"/>
    <pageField fld="8" hier="-1"/>
    <pageField fld="35" hier="-1"/>
    <pageField fld="36" hier="-1"/>
    <pageField fld="37" hier="-1"/>
    <pageField fld="38" hier="-1"/>
    <pageField fld="39" hier="-1"/>
    <pageField fld="40" hier="-1"/>
    <pageField fld="41" hier="-1"/>
  </pageFields>
  <dataFields count="17">
    <dataField name="кол-во КР" fld="1" subtotal="count" numFmtId="1"/>
    <dataField name="% выполнения КЭС" fld="13" subtotal="average" numFmtId="9"/>
    <dataField name="Рек. оценка средн." fld="18" subtotal="average" numFmtId="2"/>
    <dataField name="Оценка средняя" fld="19" subtotal="average" numFmtId="2"/>
    <dataField name="ОЦ" fld="20" subtotal="average" numFmtId="9"/>
    <dataField name="РЕЗ" fld="21" subtotal="average" numFmtId="9"/>
    <dataField name="СО" fld="22" subtotal="average" numFmtId="9"/>
    <dataField name="УР" fld="23" subtotal="average" numFmtId="9"/>
    <dataField name="КО" fld="24" subtotal="average" numFmtId="9"/>
    <dataField name="НЕУСП" fld="25" subtotal="average" numFmtId="9"/>
    <dataField name="ПИБ средний" fld="28" subtotal="average" numFmtId="2"/>
    <dataField name="ИСО" fld="29" subtotal="average" numFmtId="9"/>
    <dataField name="ИРО" fld="30" subtotal="average" numFmtId="9"/>
    <dataField name="ИКО" fld="31" subtotal="average" numFmtId="9"/>
    <dataField name="ИНО" fld="32" subtotal="average" numFmtId="9"/>
    <dataField name="Вып. баз-й ур-нь" fld="33" subtotal="average" numFmtId="9"/>
    <dataField name="Вып. пов-й ур-нь" fld="34" subtotal="average" numFmtId="9"/>
  </dataFields>
  <pivotTableStyleInfo name="PivotStyleLight20" showRowHeaders="1" showColHeaders="1" showRowStripes="0" showColStripes="0" showLastColumn="1"/>
</pivotTableDefinition>
</file>

<file path=xl/tables/table1.xml><?xml version="1.0" encoding="utf-8"?>
<table xmlns="http://schemas.openxmlformats.org/spreadsheetml/2006/main" id="1" name="КР" displayName="КР" ref="A2:AP466">
  <autoFilter ref="A2:AP466"/>
  <tableColumns count="42">
    <tableColumn id="1" name="ссылка"/>
    <tableColumn id="2" name="id"/>
    <tableColumn id="3" name="номер"/>
    <tableColumn id="4" name="тип"/>
    <tableColumn id="5" name="предмет"/>
    <tableColumn id="6" name="классы"/>
    <tableColumn id="7" name="дата"/>
    <tableColumn id="8" name="учитель"/>
    <tableColumn id="9" name="состояние"/>
    <tableColumn id="10" name="описание"/>
    <tableColumn id="11" name="Выполнено, баллов"/>
    <tableColumn id="12" name="Не выполнено, баллов"/>
    <tableColumn id="13" name="Проверено, баллов"/>
    <tableColumn id="14" name="% выполнения КЭС"/>
    <tableColumn id="15" name="Уч-ся КР с оценкой"/>
    <tableColumn id="16" name="Уч-ся КР с оценкой 3, 4, 5"/>
    <tableColumn id="17" name="Уч-ся КР 4-5"/>
    <tableColumn id="18" name="Уч-ся КР, всего"/>
    <tableColumn id="19" name="Рек. оценка средн."/>
    <tableColumn id="20" name="Оценка средняя"/>
    <tableColumn id="21" name="ОЦ"/>
    <tableColumn id="22" name="РЕЗ"/>
    <tableColumn id="23" name="СО"/>
    <tableColumn id="24" name="УР"/>
    <tableColumn id="25" name="КО"/>
    <tableColumn id="26" name="НЕУСП"/>
    <tableColumn id="27" name="Уч-ся ПИБ"/>
    <tableColumn id="28" name="Уч-ся ПИБ 4-5"/>
    <tableColumn id="29" name="ПИБ средний"/>
    <tableColumn id="30" name="ИСО"/>
    <tableColumn id="31" name="ИРО"/>
    <tableColumn id="32" name="ИКО"/>
    <tableColumn id="33" name="ИНО"/>
    <tableColumn id="34" name="Вып. баз-й ур-нь"/>
    <tableColumn id="35" name="Вып. пов-й ур-нь"/>
    <tableColumn id="36" name="Оценки выставлены"/>
    <tableColumn id="37" name="Результативность"/>
    <tableColumn id="38" name="Успеваемость"/>
    <tableColumn id="39" name="Уровень РЕЗ"/>
    <tableColumn id="40" name="Сильные уч-ся"/>
    <tableColumn id="41" name="Работа со слабыми"/>
    <tableColumn id="42" name="Ожидаемые рез-ты"/>
  </tableColumns>
  <tableStyleInfo name="TableStyleMedium6"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66"/>
  <sheetViews>
    <sheetView showZeros="0" workbookViewId="0">
      <pane xSplit="5" ySplit="2" topLeftCell="F3" activePane="bottomRight" state="frozen"/>
      <selection pane="topRight"/>
      <selection pane="bottomLeft"/>
      <selection pane="bottomRight"/>
    </sheetView>
  </sheetViews>
  <sheetFormatPr defaultRowHeight="15" x14ac:dyDescent="0.25"/>
  <cols>
    <col min="2" max="2" width="4.5703125" bestFit="1" customWidth="1"/>
    <col min="3" max="3" width="48.85546875" bestFit="1" customWidth="1"/>
    <col min="4" max="4" width="19.5703125" bestFit="1" customWidth="1"/>
    <col min="5" max="5" width="22" bestFit="1" customWidth="1"/>
    <col min="6" max="6" width="52.85546875" bestFit="1" customWidth="1"/>
    <col min="7" max="7" width="11.5703125" bestFit="1" customWidth="1"/>
    <col min="8" max="8" width="20.42578125" bestFit="1" customWidth="1"/>
    <col min="9" max="9" width="12.85546875" bestFit="1" customWidth="1"/>
    <col min="11" max="11" width="19.85546875" bestFit="1" customWidth="1"/>
    <col min="12" max="12" width="22.7109375" bestFit="1" customWidth="1"/>
    <col min="13" max="13" width="19.42578125" bestFit="1" customWidth="1"/>
    <col min="14" max="14" width="19.7109375" bestFit="1" customWidth="1"/>
    <col min="15" max="15" width="19.28515625" bestFit="1" customWidth="1"/>
    <col min="16" max="16" width="25.7109375" bestFit="1" customWidth="1"/>
    <col min="17" max="17" width="12.5703125" bestFit="1" customWidth="1"/>
    <col min="18" max="18" width="15.42578125" bestFit="1" customWidth="1"/>
    <col min="19" max="19" width="19.42578125" bestFit="1" customWidth="1"/>
    <col min="20" max="20" width="16.85546875" bestFit="1" customWidth="1"/>
    <col min="21" max="21" width="6.28515625" bestFit="1" customWidth="1"/>
    <col min="22" max="22" width="5.140625" bestFit="1" customWidth="1"/>
    <col min="23" max="23" width="7" bestFit="1" customWidth="1"/>
    <col min="24" max="25" width="6.28515625" bestFit="1" customWidth="1"/>
    <col min="26" max="26" width="7.28515625" bestFit="1" customWidth="1"/>
    <col min="27" max="27" width="10.5703125" bestFit="1" customWidth="1"/>
    <col min="28" max="28" width="14.140625" bestFit="1" customWidth="1"/>
    <col min="29" max="29" width="13.7109375" bestFit="1" customWidth="1"/>
    <col min="30" max="33" width="6.28515625" bestFit="1" customWidth="1"/>
    <col min="34" max="34" width="17" bestFit="1" customWidth="1"/>
    <col min="35" max="35" width="17.140625" bestFit="1" customWidth="1"/>
    <col min="36" max="36" width="20.7109375" bestFit="1" customWidth="1"/>
    <col min="37" max="37" width="18.5703125" bestFit="1" customWidth="1"/>
    <col min="38" max="38" width="14.42578125" bestFit="1" customWidth="1"/>
    <col min="39" max="39" width="14.28515625" bestFit="1" customWidth="1"/>
    <col min="40" max="40" width="15.140625" bestFit="1" customWidth="1"/>
    <col min="41" max="41" width="30.5703125" bestFit="1" customWidth="1"/>
    <col min="42" max="42" width="19.85546875" bestFit="1" customWidth="1"/>
  </cols>
  <sheetData>
    <row r="1" spans="1:42" x14ac:dyDescent="0.25">
      <c r="A1" s="2" t="s">
        <v>0</v>
      </c>
      <c r="B1" s="2"/>
      <c r="C1" s="2"/>
      <c r="D1" s="2"/>
      <c r="E1" s="2"/>
      <c r="F1" s="2"/>
      <c r="G1" s="2"/>
      <c r="H1" s="2"/>
      <c r="I1" s="2"/>
      <c r="J1" s="2"/>
      <c r="K1" s="2" t="s">
        <v>1</v>
      </c>
      <c r="L1" s="2"/>
      <c r="M1" s="2"/>
      <c r="N1" s="2"/>
      <c r="O1" s="2"/>
      <c r="P1" s="2"/>
      <c r="Q1" s="2"/>
      <c r="R1" s="2"/>
      <c r="S1" s="2"/>
      <c r="T1" s="2"/>
      <c r="U1" s="2"/>
      <c r="V1" s="2"/>
      <c r="W1" s="2"/>
      <c r="X1" s="2"/>
      <c r="Y1" s="2"/>
      <c r="Z1" s="2"/>
      <c r="AA1" s="2" t="s">
        <v>2</v>
      </c>
      <c r="AB1" s="2"/>
      <c r="AC1" s="2"/>
      <c r="AD1" s="2"/>
      <c r="AE1" s="2"/>
      <c r="AF1" s="2"/>
      <c r="AG1" s="2"/>
      <c r="AH1" s="2" t="s">
        <v>3</v>
      </c>
      <c r="AI1" s="2"/>
      <c r="AJ1" s="2"/>
      <c r="AK1" s="2"/>
      <c r="AL1" s="2"/>
      <c r="AM1" s="2"/>
      <c r="AN1" s="2"/>
      <c r="AO1" s="2"/>
      <c r="AP1" s="2"/>
    </row>
    <row r="2" spans="1:42" x14ac:dyDescent="0.25">
      <c r="A2" t="s">
        <v>4</v>
      </c>
      <c r="B2" t="s">
        <v>5</v>
      </c>
      <c r="C2" t="s">
        <v>6</v>
      </c>
      <c r="D2" t="s">
        <v>7</v>
      </c>
      <c r="E2" t="s">
        <v>8</v>
      </c>
      <c r="F2" t="s">
        <v>9</v>
      </c>
      <c r="G2" t="s">
        <v>10</v>
      </c>
      <c r="H2" t="s">
        <v>11</v>
      </c>
      <c r="I2" t="s">
        <v>12</v>
      </c>
      <c r="J2" t="s">
        <v>13</v>
      </c>
      <c r="K2" t="s">
        <v>14</v>
      </c>
      <c r="L2" t="s">
        <v>15</v>
      </c>
      <c r="M2" t="s">
        <v>16</v>
      </c>
      <c r="N2" t="s">
        <v>17</v>
      </c>
      <c r="O2" t="s">
        <v>18</v>
      </c>
      <c r="P2" t="s">
        <v>19</v>
      </c>
      <c r="Q2" t="s">
        <v>20</v>
      </c>
      <c r="R2" t="s">
        <v>21</v>
      </c>
      <c r="S2" t="s">
        <v>22</v>
      </c>
      <c r="T2" t="s">
        <v>23</v>
      </c>
      <c r="U2" t="s">
        <v>24</v>
      </c>
      <c r="V2" t="s">
        <v>25</v>
      </c>
      <c r="W2" t="s">
        <v>26</v>
      </c>
      <c r="X2" t="s">
        <v>27</v>
      </c>
      <c r="Y2" t="s">
        <v>28</v>
      </c>
      <c r="Z2" t="s">
        <v>29</v>
      </c>
      <c r="AA2" t="s">
        <v>30</v>
      </c>
      <c r="AB2" t="s">
        <v>31</v>
      </c>
      <c r="AC2" t="s">
        <v>32</v>
      </c>
      <c r="AD2" t="s">
        <v>33</v>
      </c>
      <c r="AE2" t="s">
        <v>34</v>
      </c>
      <c r="AF2" t="s">
        <v>35</v>
      </c>
      <c r="AG2" t="s">
        <v>36</v>
      </c>
      <c r="AH2" t="s">
        <v>37</v>
      </c>
      <c r="AI2" t="s">
        <v>38</v>
      </c>
      <c r="AJ2" t="s">
        <v>39</v>
      </c>
      <c r="AK2" t="s">
        <v>40</v>
      </c>
      <c r="AL2" t="s">
        <v>41</v>
      </c>
      <c r="AM2" t="s">
        <v>42</v>
      </c>
      <c r="AN2" t="s">
        <v>43</v>
      </c>
      <c r="AO2" t="s">
        <v>44</v>
      </c>
      <c r="AP2" t="s">
        <v>45</v>
      </c>
    </row>
    <row r="3" spans="1:42" x14ac:dyDescent="0.25">
      <c r="A3" t="str">
        <f>HYPERLINK("HTTP://10.0.1.74/krs/77/detail","/krs/77")</f>
        <v>/krs/77</v>
      </c>
      <c r="B3">
        <v>77</v>
      </c>
      <c r="C3" t="s">
        <v>46</v>
      </c>
      <c r="D3" t="s">
        <v>47</v>
      </c>
      <c r="E3" t="s">
        <v>48</v>
      </c>
      <c r="F3" t="s">
        <v>49</v>
      </c>
      <c r="G3" s="1">
        <v>42985</v>
      </c>
      <c r="H3" t="s">
        <v>50</v>
      </c>
      <c r="I3" t="s">
        <v>51</v>
      </c>
      <c r="K3" s="3"/>
      <c r="L3" s="3"/>
      <c r="M3" s="3"/>
      <c r="N3" s="4"/>
      <c r="O3" s="3"/>
      <c r="P3" s="3"/>
      <c r="Q3" s="3"/>
      <c r="R3" s="3"/>
      <c r="S3" s="5"/>
      <c r="T3" s="5"/>
      <c r="U3" s="4"/>
      <c r="V3" s="4"/>
      <c r="W3" s="4"/>
      <c r="X3" s="4"/>
      <c r="Y3" s="4"/>
      <c r="Z3" s="4"/>
      <c r="AA3" s="3"/>
      <c r="AB3" s="3"/>
      <c r="AC3" s="5"/>
      <c r="AD3" s="4"/>
      <c r="AE3" s="4"/>
      <c r="AF3" s="4"/>
      <c r="AG3" s="4"/>
      <c r="AH3" s="4"/>
      <c r="AI3" s="4"/>
      <c r="AJ3" t="s">
        <v>52</v>
      </c>
      <c r="AK3" t="s">
        <v>52</v>
      </c>
      <c r="AL3" t="s">
        <v>52</v>
      </c>
      <c r="AM3" t="s">
        <v>52</v>
      </c>
      <c r="AN3" t="s">
        <v>52</v>
      </c>
      <c r="AO3" t="s">
        <v>52</v>
      </c>
      <c r="AP3" t="s">
        <v>52</v>
      </c>
    </row>
    <row r="4" spans="1:42" x14ac:dyDescent="0.25">
      <c r="A4" t="str">
        <f>HYPERLINK("HTTP://10.0.1.74/krs/78/detail","/krs/78")</f>
        <v>/krs/78</v>
      </c>
      <c r="B4">
        <v>78</v>
      </c>
      <c r="C4" t="s">
        <v>53</v>
      </c>
      <c r="D4" t="s">
        <v>47</v>
      </c>
      <c r="E4" t="s">
        <v>54</v>
      </c>
      <c r="F4" t="s">
        <v>55</v>
      </c>
      <c r="G4" s="1">
        <v>42982</v>
      </c>
      <c r="H4" t="s">
        <v>56</v>
      </c>
      <c r="I4" t="s">
        <v>57</v>
      </c>
      <c r="J4" t="s">
        <v>58</v>
      </c>
      <c r="K4" s="3">
        <v>359</v>
      </c>
      <c r="L4" s="3">
        <v>185</v>
      </c>
      <c r="M4" s="3">
        <v>544</v>
      </c>
      <c r="N4" s="4">
        <v>0.66</v>
      </c>
      <c r="O4" s="3">
        <v>16</v>
      </c>
      <c r="P4" s="3"/>
      <c r="Q4" s="3">
        <v>12</v>
      </c>
      <c r="R4" s="3">
        <v>14</v>
      </c>
      <c r="S4" s="5">
        <v>3.6</v>
      </c>
      <c r="T4" s="5">
        <v>3.6</v>
      </c>
      <c r="U4" s="4">
        <v>0.83</v>
      </c>
      <c r="V4" s="4">
        <v>0.66</v>
      </c>
      <c r="W4" s="4">
        <v>0.86</v>
      </c>
      <c r="X4" s="4">
        <v>0.93</v>
      </c>
      <c r="Y4" s="4">
        <v>0.86</v>
      </c>
      <c r="Z4" s="4">
        <v>0.34</v>
      </c>
      <c r="AA4" s="3">
        <v>14</v>
      </c>
      <c r="AB4" s="3">
        <v>6</v>
      </c>
      <c r="AC4" s="5">
        <v>3.5</v>
      </c>
      <c r="AD4" s="4">
        <v>0.93</v>
      </c>
      <c r="AE4" s="4">
        <v>0.71</v>
      </c>
      <c r="AF4" s="4">
        <v>0.43</v>
      </c>
      <c r="AG4" s="4">
        <v>0.28999999999999998</v>
      </c>
      <c r="AH4" s="4">
        <v>0.69</v>
      </c>
      <c r="AI4" s="4">
        <v>0.63</v>
      </c>
      <c r="AJ4" t="s">
        <v>60</v>
      </c>
      <c r="AK4" t="s">
        <v>61</v>
      </c>
      <c r="AL4" t="s">
        <v>62</v>
      </c>
      <c r="AM4" t="s">
        <v>63</v>
      </c>
      <c r="AN4" t="s">
        <v>64</v>
      </c>
      <c r="AO4" t="s">
        <v>65</v>
      </c>
      <c r="AP4" t="s">
        <v>66</v>
      </c>
    </row>
    <row r="5" spans="1:42" x14ac:dyDescent="0.25">
      <c r="A5" t="str">
        <f>HYPERLINK("HTTP://10.0.1.74/krs/79/detail","/krs/79")</f>
        <v>/krs/79</v>
      </c>
      <c r="B5">
        <v>79</v>
      </c>
      <c r="C5" t="s">
        <v>67</v>
      </c>
      <c r="D5" t="s">
        <v>47</v>
      </c>
      <c r="E5" t="s">
        <v>68</v>
      </c>
      <c r="F5" t="s">
        <v>69</v>
      </c>
      <c r="G5" s="1">
        <v>42989.669432627314</v>
      </c>
      <c r="H5" t="s">
        <v>70</v>
      </c>
      <c r="I5" t="s">
        <v>51</v>
      </c>
      <c r="J5" t="s">
        <v>71</v>
      </c>
      <c r="K5" s="3">
        <v>367</v>
      </c>
      <c r="L5" s="3">
        <v>153</v>
      </c>
      <c r="M5" s="3">
        <v>520</v>
      </c>
      <c r="N5" s="4">
        <v>0.71</v>
      </c>
      <c r="O5" s="3">
        <v>26</v>
      </c>
      <c r="P5" s="3"/>
      <c r="Q5" s="3">
        <v>16</v>
      </c>
      <c r="R5" s="3">
        <v>26</v>
      </c>
      <c r="S5" s="5">
        <v>3.8</v>
      </c>
      <c r="T5" s="5">
        <v>3.7</v>
      </c>
      <c r="U5" s="4">
        <v>0.74</v>
      </c>
      <c r="V5" s="4">
        <v>0.71</v>
      </c>
      <c r="W5" s="4">
        <v>0.96</v>
      </c>
      <c r="X5" s="4">
        <v>0.85</v>
      </c>
      <c r="Y5" s="4">
        <v>0.62</v>
      </c>
      <c r="Z5" s="4">
        <v>0.28999999999999998</v>
      </c>
      <c r="AA5" s="3">
        <v>26</v>
      </c>
      <c r="AB5" s="3">
        <v>21</v>
      </c>
      <c r="AC5" s="5">
        <v>4.2</v>
      </c>
      <c r="AD5" s="4">
        <v>1</v>
      </c>
      <c r="AE5" s="4">
        <v>0.84</v>
      </c>
      <c r="AF5" s="4">
        <v>0.81</v>
      </c>
      <c r="AG5" s="4">
        <v>0.16</v>
      </c>
      <c r="AH5" s="4">
        <v>0.75</v>
      </c>
      <c r="AI5" s="4">
        <v>0</v>
      </c>
      <c r="AJ5" t="s">
        <v>72</v>
      </c>
      <c r="AK5" t="s">
        <v>62</v>
      </c>
      <c r="AL5" t="s">
        <v>62</v>
      </c>
      <c r="AM5" t="s">
        <v>73</v>
      </c>
      <c r="AN5" t="s">
        <v>64</v>
      </c>
      <c r="AO5" t="s">
        <v>74</v>
      </c>
      <c r="AP5" t="s">
        <v>75</v>
      </c>
    </row>
    <row r="6" spans="1:42" x14ac:dyDescent="0.25">
      <c r="A6" t="str">
        <f>HYPERLINK("HTTP://10.0.1.74/krs/80/detail","/krs/80")</f>
        <v>/krs/80</v>
      </c>
      <c r="B6">
        <v>80</v>
      </c>
      <c r="C6" t="s">
        <v>53</v>
      </c>
      <c r="D6" t="s">
        <v>47</v>
      </c>
      <c r="E6" t="s">
        <v>54</v>
      </c>
      <c r="F6" t="s">
        <v>76</v>
      </c>
      <c r="G6" s="1">
        <v>42982</v>
      </c>
      <c r="H6" t="s">
        <v>56</v>
      </c>
      <c r="I6" t="s">
        <v>57</v>
      </c>
      <c r="J6" t="s">
        <v>77</v>
      </c>
      <c r="K6" s="3">
        <v>517</v>
      </c>
      <c r="L6" s="3">
        <v>183</v>
      </c>
      <c r="M6" s="3">
        <v>700</v>
      </c>
      <c r="N6" s="4">
        <v>0.74</v>
      </c>
      <c r="O6" s="3">
        <v>25</v>
      </c>
      <c r="P6" s="3"/>
      <c r="Q6" s="3">
        <v>17</v>
      </c>
      <c r="R6" s="3">
        <v>25</v>
      </c>
      <c r="S6" s="5">
        <v>3.6</v>
      </c>
      <c r="T6" s="5">
        <v>3.7</v>
      </c>
      <c r="U6" s="4">
        <v>0.74</v>
      </c>
      <c r="V6" s="4">
        <v>0.74</v>
      </c>
      <c r="W6" s="4">
        <v>1</v>
      </c>
      <c r="X6" s="4">
        <v>1.03</v>
      </c>
      <c r="Y6" s="4">
        <v>0.68</v>
      </c>
      <c r="Z6" s="4">
        <v>0.26</v>
      </c>
      <c r="AA6" s="3">
        <v>25</v>
      </c>
      <c r="AB6" s="3">
        <v>13</v>
      </c>
      <c r="AC6" s="5">
        <v>3.6</v>
      </c>
      <c r="AD6" s="4">
        <v>0.8</v>
      </c>
      <c r="AE6" s="4">
        <v>0.72</v>
      </c>
      <c r="AF6" s="4">
        <v>0.52</v>
      </c>
      <c r="AG6" s="4">
        <v>0.28000000000000003</v>
      </c>
      <c r="AH6" s="4">
        <v>0.74</v>
      </c>
      <c r="AI6" s="4">
        <v>0.71</v>
      </c>
      <c r="AJ6" t="s">
        <v>72</v>
      </c>
      <c r="AK6" t="s">
        <v>62</v>
      </c>
      <c r="AL6" t="s">
        <v>62</v>
      </c>
      <c r="AM6" t="s">
        <v>63</v>
      </c>
      <c r="AN6" t="s">
        <v>64</v>
      </c>
      <c r="AO6" t="s">
        <v>79</v>
      </c>
      <c r="AP6" t="s">
        <v>66</v>
      </c>
    </row>
    <row r="7" spans="1:42" x14ac:dyDescent="0.25">
      <c r="A7" t="str">
        <f>HYPERLINK("HTTP://10.0.1.74/krs/82/detail","/krs/82")</f>
        <v>/krs/82</v>
      </c>
      <c r="B7">
        <v>82</v>
      </c>
      <c r="C7" t="s">
        <v>80</v>
      </c>
      <c r="D7" t="s">
        <v>81</v>
      </c>
      <c r="E7" t="s">
        <v>54</v>
      </c>
      <c r="F7" t="s">
        <v>55</v>
      </c>
      <c r="G7" s="1">
        <v>42982</v>
      </c>
      <c r="H7" t="s">
        <v>56</v>
      </c>
      <c r="I7" t="s">
        <v>57</v>
      </c>
      <c r="J7" t="s">
        <v>82</v>
      </c>
      <c r="K7" s="3">
        <v>164</v>
      </c>
      <c r="L7" s="3">
        <v>196</v>
      </c>
      <c r="M7" s="3">
        <v>360</v>
      </c>
      <c r="N7" s="4">
        <v>0.46</v>
      </c>
      <c r="O7" s="3">
        <v>15</v>
      </c>
      <c r="P7" s="3"/>
      <c r="Q7" s="3">
        <v>2</v>
      </c>
      <c r="R7" s="3">
        <v>15</v>
      </c>
      <c r="S7" s="5">
        <v>2.5</v>
      </c>
      <c r="T7" s="5">
        <v>3</v>
      </c>
      <c r="U7" s="4">
        <v>0.6</v>
      </c>
      <c r="V7" s="4">
        <v>0.46</v>
      </c>
      <c r="W7" s="4">
        <v>0.87</v>
      </c>
      <c r="X7" s="4">
        <v>0.71</v>
      </c>
      <c r="Y7" s="4">
        <v>0.13</v>
      </c>
      <c r="Z7" s="4">
        <v>0.54</v>
      </c>
      <c r="AA7" s="3">
        <v>15</v>
      </c>
      <c r="AB7" s="3">
        <v>5</v>
      </c>
      <c r="AC7" s="5">
        <v>3.3</v>
      </c>
      <c r="AD7" s="4">
        <v>0.8</v>
      </c>
      <c r="AE7" s="4">
        <v>0.65</v>
      </c>
      <c r="AF7" s="4">
        <v>0.33</v>
      </c>
      <c r="AG7" s="4">
        <v>0.35</v>
      </c>
      <c r="AH7" s="4">
        <v>0.63</v>
      </c>
      <c r="AI7" s="4">
        <v>0.44</v>
      </c>
      <c r="AJ7" t="s">
        <v>60</v>
      </c>
      <c r="AK7" t="s">
        <v>86</v>
      </c>
      <c r="AL7" t="s">
        <v>62</v>
      </c>
      <c r="AM7" t="s">
        <v>73</v>
      </c>
      <c r="AN7" t="s">
        <v>64</v>
      </c>
      <c r="AO7" t="s">
        <v>74</v>
      </c>
      <c r="AP7" t="s">
        <v>75</v>
      </c>
    </row>
    <row r="8" spans="1:42" x14ac:dyDescent="0.25">
      <c r="A8" t="str">
        <f>HYPERLINK("HTTP://10.0.1.74/krs/83/detail","/krs/83")</f>
        <v>/krs/83</v>
      </c>
      <c r="B8">
        <v>83</v>
      </c>
      <c r="C8" t="s">
        <v>53</v>
      </c>
      <c r="D8" t="s">
        <v>47</v>
      </c>
      <c r="E8" t="s">
        <v>87</v>
      </c>
      <c r="F8" t="s">
        <v>69</v>
      </c>
      <c r="G8" s="1">
        <v>42984</v>
      </c>
      <c r="H8" t="s">
        <v>88</v>
      </c>
      <c r="I8" t="s">
        <v>51</v>
      </c>
      <c r="K8" s="3"/>
      <c r="L8" s="3"/>
      <c r="M8" s="3"/>
      <c r="N8" s="4"/>
      <c r="O8" s="3"/>
      <c r="P8" s="3"/>
      <c r="Q8" s="3"/>
      <c r="R8" s="3"/>
      <c r="S8" s="5"/>
      <c r="T8" s="5"/>
      <c r="U8" s="4"/>
      <c r="V8" s="4"/>
      <c r="W8" s="4"/>
      <c r="X8" s="4"/>
      <c r="Y8" s="4"/>
      <c r="Z8" s="4"/>
      <c r="AA8" s="3"/>
      <c r="AB8" s="3"/>
      <c r="AC8" s="5"/>
      <c r="AD8" s="4"/>
      <c r="AE8" s="4"/>
      <c r="AF8" s="4"/>
      <c r="AG8" s="4"/>
      <c r="AH8" s="4"/>
      <c r="AI8" s="4"/>
      <c r="AJ8" t="s">
        <v>52</v>
      </c>
      <c r="AK8" t="s">
        <v>52</v>
      </c>
      <c r="AL8" t="s">
        <v>52</v>
      </c>
      <c r="AM8" t="s">
        <v>52</v>
      </c>
      <c r="AN8" t="s">
        <v>52</v>
      </c>
      <c r="AO8" t="s">
        <v>52</v>
      </c>
      <c r="AP8" t="s">
        <v>52</v>
      </c>
    </row>
    <row r="9" spans="1:42" x14ac:dyDescent="0.25">
      <c r="A9" t="str">
        <f>HYPERLINK("HTTP://10.0.1.74/krs/84/detail","/krs/84")</f>
        <v>/krs/84</v>
      </c>
      <c r="B9">
        <v>84</v>
      </c>
      <c r="C9" t="s">
        <v>53</v>
      </c>
      <c r="D9" t="s">
        <v>47</v>
      </c>
      <c r="E9" t="s">
        <v>87</v>
      </c>
      <c r="F9" t="s">
        <v>89</v>
      </c>
      <c r="G9" s="1">
        <v>42990</v>
      </c>
      <c r="H9" t="s">
        <v>88</v>
      </c>
      <c r="I9" t="s">
        <v>51</v>
      </c>
      <c r="K9" s="3"/>
      <c r="L9" s="3"/>
      <c r="M9" s="3"/>
      <c r="N9" s="4"/>
      <c r="O9" s="3"/>
      <c r="P9" s="3"/>
      <c r="Q9" s="3"/>
      <c r="R9" s="3"/>
      <c r="S9" s="5"/>
      <c r="T9" s="5"/>
      <c r="U9" s="4"/>
      <c r="V9" s="4"/>
      <c r="W9" s="4"/>
      <c r="X9" s="4"/>
      <c r="Y9" s="4"/>
      <c r="Z9" s="4"/>
      <c r="AA9" s="3"/>
      <c r="AB9" s="3"/>
      <c r="AC9" s="5"/>
      <c r="AD9" s="4"/>
      <c r="AE9" s="4"/>
      <c r="AF9" s="4"/>
      <c r="AG9" s="4"/>
      <c r="AH9" s="4"/>
      <c r="AI9" s="4"/>
      <c r="AJ9" t="s">
        <v>52</v>
      </c>
      <c r="AK9" t="s">
        <v>52</v>
      </c>
      <c r="AL9" t="s">
        <v>52</v>
      </c>
      <c r="AM9" t="s">
        <v>52</v>
      </c>
      <c r="AN9" t="s">
        <v>52</v>
      </c>
      <c r="AO9" t="s">
        <v>52</v>
      </c>
      <c r="AP9" t="s">
        <v>52</v>
      </c>
    </row>
    <row r="10" spans="1:42" x14ac:dyDescent="0.25">
      <c r="A10" t="str">
        <f>HYPERLINK("HTTP://10.0.1.74/krs/85/detail","/krs/85")</f>
        <v>/krs/85</v>
      </c>
      <c r="B10">
        <v>85</v>
      </c>
      <c r="C10" t="s">
        <v>53</v>
      </c>
      <c r="D10" t="s">
        <v>47</v>
      </c>
      <c r="E10" t="s">
        <v>87</v>
      </c>
      <c r="F10" t="s">
        <v>90</v>
      </c>
      <c r="G10" s="1">
        <v>42985</v>
      </c>
      <c r="H10" t="s">
        <v>88</v>
      </c>
      <c r="I10" t="s">
        <v>51</v>
      </c>
      <c r="K10" s="3">
        <v>5</v>
      </c>
      <c r="L10" s="3">
        <v>135</v>
      </c>
      <c r="M10" s="3">
        <v>140</v>
      </c>
      <c r="N10" s="4">
        <v>0.04</v>
      </c>
      <c r="O10" s="3">
        <v>28</v>
      </c>
      <c r="P10" s="3"/>
      <c r="Q10" s="3">
        <v>1</v>
      </c>
      <c r="R10" s="3">
        <v>28</v>
      </c>
      <c r="S10" s="5">
        <v>2.1</v>
      </c>
      <c r="T10" s="5">
        <v>1.1000000000000001</v>
      </c>
      <c r="U10" s="4">
        <v>0.23</v>
      </c>
      <c r="V10" s="4">
        <v>0.04</v>
      </c>
      <c r="W10" s="4">
        <v>0.04</v>
      </c>
      <c r="X10" s="4">
        <v>0.04</v>
      </c>
      <c r="Y10" s="4">
        <v>0.04</v>
      </c>
      <c r="Z10" s="4">
        <v>0.96</v>
      </c>
      <c r="AA10" s="3">
        <v>1</v>
      </c>
      <c r="AB10" s="3">
        <v>1</v>
      </c>
      <c r="AC10" s="5">
        <v>4.5</v>
      </c>
      <c r="AD10" s="4">
        <v>1</v>
      </c>
      <c r="AE10" s="4">
        <v>0.9</v>
      </c>
      <c r="AF10" s="4">
        <v>1</v>
      </c>
      <c r="AG10" s="4">
        <v>0.1</v>
      </c>
      <c r="AH10" s="4">
        <v>0.04</v>
      </c>
      <c r="AI10" s="4">
        <v>0</v>
      </c>
      <c r="AJ10" t="s">
        <v>60</v>
      </c>
      <c r="AK10" t="s">
        <v>86</v>
      </c>
      <c r="AL10" t="s">
        <v>86</v>
      </c>
      <c r="AM10" t="s">
        <v>73</v>
      </c>
      <c r="AN10" t="s">
        <v>64</v>
      </c>
      <c r="AO10" t="s">
        <v>74</v>
      </c>
      <c r="AP10" t="s">
        <v>75</v>
      </c>
    </row>
    <row r="11" spans="1:42" x14ac:dyDescent="0.25">
      <c r="A11" t="str">
        <f>HYPERLINK("HTTP://10.0.1.74/krs/87/detail","/krs/87")</f>
        <v>/krs/87</v>
      </c>
      <c r="B11">
        <v>87</v>
      </c>
      <c r="C11" t="s">
        <v>53</v>
      </c>
      <c r="D11" t="s">
        <v>47</v>
      </c>
      <c r="E11" t="s">
        <v>94</v>
      </c>
      <c r="F11" t="s">
        <v>95</v>
      </c>
      <c r="G11" s="1">
        <v>42991.617638888885</v>
      </c>
      <c r="H11" t="s">
        <v>96</v>
      </c>
      <c r="I11" t="s">
        <v>51</v>
      </c>
      <c r="K11" s="3">
        <v>1166</v>
      </c>
      <c r="L11" s="3">
        <v>894</v>
      </c>
      <c r="M11" s="3">
        <v>2060</v>
      </c>
      <c r="N11" s="4">
        <v>0.56999999999999995</v>
      </c>
      <c r="O11" s="3">
        <v>103</v>
      </c>
      <c r="P11" s="3"/>
      <c r="Q11" s="3">
        <v>48</v>
      </c>
      <c r="R11" s="3">
        <v>103</v>
      </c>
      <c r="S11" s="5">
        <v>3.5</v>
      </c>
      <c r="T11" s="5">
        <v>3</v>
      </c>
      <c r="U11" s="4">
        <v>0.6</v>
      </c>
      <c r="V11" s="4">
        <v>0.56999999999999995</v>
      </c>
      <c r="W11" s="4">
        <v>0.67</v>
      </c>
      <c r="X11" s="4">
        <v>0.77</v>
      </c>
      <c r="Y11" s="4">
        <v>0.47</v>
      </c>
      <c r="Z11" s="4">
        <v>0.43</v>
      </c>
      <c r="AA11" s="3">
        <v>78</v>
      </c>
      <c r="AB11" s="3">
        <v>32</v>
      </c>
      <c r="AC11" s="5">
        <v>3.7</v>
      </c>
      <c r="AD11" s="4">
        <v>0.91</v>
      </c>
      <c r="AE11" s="4">
        <v>0.74</v>
      </c>
      <c r="AF11" s="4">
        <v>0.41</v>
      </c>
      <c r="AG11" s="4">
        <v>0.26</v>
      </c>
      <c r="AH11" s="4">
        <v>0.67</v>
      </c>
      <c r="AI11" s="4">
        <v>0.47</v>
      </c>
      <c r="AJ11" t="s">
        <v>72</v>
      </c>
      <c r="AK11" t="s">
        <v>86</v>
      </c>
      <c r="AL11" t="s">
        <v>61</v>
      </c>
      <c r="AM11" t="s">
        <v>73</v>
      </c>
      <c r="AN11" t="s">
        <v>97</v>
      </c>
      <c r="AO11" t="s">
        <v>74</v>
      </c>
      <c r="AP11" t="s">
        <v>75</v>
      </c>
    </row>
    <row r="12" spans="1:42" x14ac:dyDescent="0.25">
      <c r="A12" t="str">
        <f>HYPERLINK("HTTP://10.0.1.74/krs/88/detail","/krs/88")</f>
        <v>/krs/88</v>
      </c>
      <c r="B12">
        <v>88</v>
      </c>
      <c r="C12" t="s">
        <v>53</v>
      </c>
      <c r="D12" t="s">
        <v>47</v>
      </c>
      <c r="E12" t="s">
        <v>98</v>
      </c>
      <c r="F12" t="s">
        <v>99</v>
      </c>
      <c r="G12" s="1">
        <v>42985</v>
      </c>
      <c r="H12" t="s">
        <v>100</v>
      </c>
      <c r="I12" t="s">
        <v>51</v>
      </c>
      <c r="K12" s="3">
        <v>34</v>
      </c>
      <c r="L12" s="3">
        <v>21</v>
      </c>
      <c r="M12" s="3">
        <v>55</v>
      </c>
      <c r="N12" s="4">
        <v>0.62</v>
      </c>
      <c r="O12" s="3">
        <v>11</v>
      </c>
      <c r="P12" s="3"/>
      <c r="Q12" s="3">
        <v>4</v>
      </c>
      <c r="R12" s="3">
        <v>11</v>
      </c>
      <c r="S12" s="5">
        <v>3.5</v>
      </c>
      <c r="T12" s="5">
        <v>3.5</v>
      </c>
      <c r="U12" s="4">
        <v>0.69</v>
      </c>
      <c r="V12" s="4">
        <v>0.62</v>
      </c>
      <c r="W12" s="4">
        <v>1</v>
      </c>
      <c r="X12" s="4">
        <v>0.81</v>
      </c>
      <c r="Y12" s="4">
        <v>0.36</v>
      </c>
      <c r="Z12" s="4">
        <v>0.38</v>
      </c>
      <c r="AA12" s="3">
        <v>11</v>
      </c>
      <c r="AB12" s="3">
        <v>5</v>
      </c>
      <c r="AC12" s="5">
        <v>3.9</v>
      </c>
      <c r="AD12" s="4">
        <v>1</v>
      </c>
      <c r="AE12" s="4">
        <v>0.77</v>
      </c>
      <c r="AF12" s="4">
        <v>0.45</v>
      </c>
      <c r="AG12" s="4">
        <v>0.23</v>
      </c>
      <c r="AH12" s="4">
        <v>0.73</v>
      </c>
      <c r="AI12" s="4">
        <v>0.45</v>
      </c>
      <c r="AJ12" t="s">
        <v>72</v>
      </c>
      <c r="AK12" t="s">
        <v>61</v>
      </c>
      <c r="AL12" t="s">
        <v>62</v>
      </c>
      <c r="AM12" t="s">
        <v>73</v>
      </c>
      <c r="AN12" t="s">
        <v>97</v>
      </c>
      <c r="AO12" t="s">
        <v>74</v>
      </c>
      <c r="AP12" t="s">
        <v>75</v>
      </c>
    </row>
    <row r="13" spans="1:42" x14ac:dyDescent="0.25">
      <c r="A13" t="str">
        <f>HYPERLINK("HTTP://10.0.1.74/krs/89/detail","/krs/89")</f>
        <v>/krs/89</v>
      </c>
      <c r="B13">
        <v>89</v>
      </c>
      <c r="C13" t="s">
        <v>53</v>
      </c>
      <c r="D13" t="s">
        <v>47</v>
      </c>
      <c r="E13" t="s">
        <v>98</v>
      </c>
      <c r="F13" t="s">
        <v>102</v>
      </c>
      <c r="G13" s="1">
        <v>42985</v>
      </c>
      <c r="H13" t="s">
        <v>100</v>
      </c>
      <c r="I13" t="s">
        <v>51</v>
      </c>
      <c r="K13" s="3">
        <v>36</v>
      </c>
      <c r="L13" s="3">
        <v>14</v>
      </c>
      <c r="M13" s="3">
        <v>50</v>
      </c>
      <c r="N13" s="4">
        <v>0.72</v>
      </c>
      <c r="O13" s="3">
        <v>10</v>
      </c>
      <c r="P13" s="3"/>
      <c r="Q13" s="3">
        <v>7</v>
      </c>
      <c r="R13" s="3">
        <v>10</v>
      </c>
      <c r="S13" s="5">
        <v>3.9</v>
      </c>
      <c r="T13" s="5">
        <v>3.8</v>
      </c>
      <c r="U13" s="4">
        <v>0.76</v>
      </c>
      <c r="V13" s="4">
        <v>0.72</v>
      </c>
      <c r="W13" s="4">
        <v>1</v>
      </c>
      <c r="X13" s="4">
        <v>0.92</v>
      </c>
      <c r="Y13" s="4">
        <v>0.7</v>
      </c>
      <c r="Z13" s="4">
        <v>0.28000000000000003</v>
      </c>
      <c r="AA13" s="3">
        <v>10</v>
      </c>
      <c r="AB13" s="3">
        <v>6</v>
      </c>
      <c r="AC13" s="5">
        <v>3.9</v>
      </c>
      <c r="AD13" s="4">
        <v>1</v>
      </c>
      <c r="AE13" s="4">
        <v>0.78</v>
      </c>
      <c r="AF13" s="4">
        <v>0.6</v>
      </c>
      <c r="AG13" s="4">
        <v>0.22</v>
      </c>
      <c r="AH13" s="4">
        <v>0.7</v>
      </c>
      <c r="AI13" s="4">
        <v>0</v>
      </c>
      <c r="AJ13" t="s">
        <v>72</v>
      </c>
      <c r="AK13" t="s">
        <v>62</v>
      </c>
      <c r="AL13" t="s">
        <v>62</v>
      </c>
      <c r="AM13" t="s">
        <v>104</v>
      </c>
      <c r="AN13" t="s">
        <v>64</v>
      </c>
      <c r="AO13" t="s">
        <v>65</v>
      </c>
      <c r="AP13" t="s">
        <v>66</v>
      </c>
    </row>
    <row r="14" spans="1:42" x14ac:dyDescent="0.25">
      <c r="A14" t="str">
        <f>HYPERLINK("HTTP://10.0.1.74/krs/90/detail","/krs/90")</f>
        <v>/krs/90</v>
      </c>
      <c r="B14">
        <v>90</v>
      </c>
      <c r="C14" t="s">
        <v>53</v>
      </c>
      <c r="D14" t="s">
        <v>47</v>
      </c>
      <c r="E14" t="s">
        <v>98</v>
      </c>
      <c r="F14" t="s">
        <v>105</v>
      </c>
      <c r="G14" s="1">
        <v>42984</v>
      </c>
      <c r="H14" t="s">
        <v>100</v>
      </c>
      <c r="I14" t="s">
        <v>51</v>
      </c>
      <c r="K14" s="3">
        <v>42</v>
      </c>
      <c r="L14" s="3">
        <v>18</v>
      </c>
      <c r="M14" s="3">
        <v>60</v>
      </c>
      <c r="N14" s="4">
        <v>0.7</v>
      </c>
      <c r="O14" s="3">
        <v>12</v>
      </c>
      <c r="P14" s="3"/>
      <c r="Q14" s="3">
        <v>9</v>
      </c>
      <c r="R14" s="3">
        <v>12</v>
      </c>
      <c r="S14" s="5">
        <v>3.8</v>
      </c>
      <c r="T14" s="5">
        <v>3.8</v>
      </c>
      <c r="U14" s="4">
        <v>0.75</v>
      </c>
      <c r="V14" s="4">
        <v>0.7</v>
      </c>
      <c r="W14" s="4">
        <v>1</v>
      </c>
      <c r="X14" s="4">
        <v>0.96</v>
      </c>
      <c r="Y14" s="4">
        <v>0.75</v>
      </c>
      <c r="Z14" s="4">
        <v>0.3</v>
      </c>
      <c r="AA14" s="3">
        <v>12</v>
      </c>
      <c r="AB14" s="3">
        <v>5</v>
      </c>
      <c r="AC14" s="5">
        <v>3.6</v>
      </c>
      <c r="AD14" s="4">
        <v>0.92</v>
      </c>
      <c r="AE14" s="4">
        <v>0.73</v>
      </c>
      <c r="AF14" s="4">
        <v>0.42</v>
      </c>
      <c r="AG14" s="4">
        <v>0.27</v>
      </c>
      <c r="AH14" s="4">
        <v>0.7</v>
      </c>
      <c r="AI14" s="4">
        <v>0.71</v>
      </c>
      <c r="AJ14" t="s">
        <v>72</v>
      </c>
      <c r="AK14" t="s">
        <v>62</v>
      </c>
      <c r="AL14" t="s">
        <v>62</v>
      </c>
      <c r="AM14" t="s">
        <v>63</v>
      </c>
      <c r="AN14" t="s">
        <v>64</v>
      </c>
      <c r="AO14" t="s">
        <v>79</v>
      </c>
      <c r="AP14" t="s">
        <v>66</v>
      </c>
    </row>
    <row r="15" spans="1:42" x14ac:dyDescent="0.25">
      <c r="A15" t="str">
        <f>HYPERLINK("HTTP://10.0.1.74/krs/91/detail","/krs/91")</f>
        <v>/krs/91</v>
      </c>
      <c r="B15">
        <v>91</v>
      </c>
      <c r="C15" t="s">
        <v>53</v>
      </c>
      <c r="D15" t="s">
        <v>47</v>
      </c>
      <c r="E15" t="s">
        <v>98</v>
      </c>
      <c r="F15" t="s">
        <v>89</v>
      </c>
      <c r="G15" s="1">
        <v>42984</v>
      </c>
      <c r="H15" t="s">
        <v>100</v>
      </c>
      <c r="I15" t="s">
        <v>51</v>
      </c>
      <c r="K15" s="3">
        <v>57</v>
      </c>
      <c r="L15" s="3">
        <v>13</v>
      </c>
      <c r="M15" s="3">
        <v>70</v>
      </c>
      <c r="N15" s="4">
        <v>0.81</v>
      </c>
      <c r="O15" s="3">
        <v>14</v>
      </c>
      <c r="P15" s="3"/>
      <c r="Q15" s="3">
        <v>11</v>
      </c>
      <c r="R15" s="3">
        <v>14</v>
      </c>
      <c r="S15" s="5">
        <v>4.0999999999999996</v>
      </c>
      <c r="T15" s="5">
        <v>4.0999999999999996</v>
      </c>
      <c r="U15" s="4">
        <v>0.81</v>
      </c>
      <c r="V15" s="4">
        <v>0.81</v>
      </c>
      <c r="W15" s="4">
        <v>1</v>
      </c>
      <c r="X15" s="4">
        <v>0.95</v>
      </c>
      <c r="Y15" s="4">
        <v>0.79</v>
      </c>
      <c r="Z15" s="4">
        <v>0.19</v>
      </c>
      <c r="AA15" s="3">
        <v>14</v>
      </c>
      <c r="AB15" s="3">
        <v>13</v>
      </c>
      <c r="AC15" s="5">
        <v>4.2</v>
      </c>
      <c r="AD15" s="4">
        <v>1</v>
      </c>
      <c r="AE15" s="4">
        <v>0.85</v>
      </c>
      <c r="AF15" s="4">
        <v>0.93</v>
      </c>
      <c r="AG15" s="4">
        <v>0.15</v>
      </c>
      <c r="AH15" s="4">
        <v>0.78</v>
      </c>
      <c r="AI15" s="4">
        <v>0</v>
      </c>
      <c r="AJ15" t="s">
        <v>72</v>
      </c>
      <c r="AK15" t="s">
        <v>62</v>
      </c>
      <c r="AL15" t="s">
        <v>62</v>
      </c>
      <c r="AM15" t="s">
        <v>63</v>
      </c>
      <c r="AN15" t="s">
        <v>64</v>
      </c>
      <c r="AO15" t="s">
        <v>79</v>
      </c>
      <c r="AP15" t="s">
        <v>66</v>
      </c>
    </row>
    <row r="16" spans="1:42" x14ac:dyDescent="0.25">
      <c r="A16" t="str">
        <f>HYPERLINK("HTTP://10.0.1.74/krs/92/detail","/krs/92")</f>
        <v>/krs/92</v>
      </c>
      <c r="B16">
        <v>92</v>
      </c>
      <c r="C16" t="s">
        <v>53</v>
      </c>
      <c r="D16" t="s">
        <v>47</v>
      </c>
      <c r="E16" t="s">
        <v>98</v>
      </c>
      <c r="F16" t="s">
        <v>107</v>
      </c>
      <c r="G16" s="1">
        <v>42984</v>
      </c>
      <c r="H16" t="s">
        <v>100</v>
      </c>
      <c r="I16" t="s">
        <v>51</v>
      </c>
      <c r="K16" s="3">
        <v>25</v>
      </c>
      <c r="L16" s="3">
        <v>10</v>
      </c>
      <c r="M16" s="3">
        <v>35</v>
      </c>
      <c r="N16" s="4">
        <v>0.71</v>
      </c>
      <c r="O16" s="3">
        <v>7</v>
      </c>
      <c r="P16" s="3"/>
      <c r="Q16" s="3">
        <v>4</v>
      </c>
      <c r="R16" s="3">
        <v>7</v>
      </c>
      <c r="S16" s="5">
        <v>3.9</v>
      </c>
      <c r="T16" s="5">
        <v>3.6</v>
      </c>
      <c r="U16" s="4">
        <v>0.71</v>
      </c>
      <c r="V16" s="4">
        <v>0.71</v>
      </c>
      <c r="W16" s="4">
        <v>1</v>
      </c>
      <c r="X16" s="4">
        <v>1.01</v>
      </c>
      <c r="Y16" s="4">
        <v>0.56999999999999995</v>
      </c>
      <c r="Z16" s="4">
        <v>0.28999999999999998</v>
      </c>
      <c r="AA16" s="3">
        <v>7</v>
      </c>
      <c r="AB16" s="3">
        <v>2</v>
      </c>
      <c r="AC16" s="5">
        <v>3.5</v>
      </c>
      <c r="AD16" s="4">
        <v>1</v>
      </c>
      <c r="AE16" s="4">
        <v>0.7</v>
      </c>
      <c r="AF16" s="4">
        <v>0.28999999999999998</v>
      </c>
      <c r="AG16" s="4">
        <v>0.3</v>
      </c>
      <c r="AH16" s="4">
        <v>0.71</v>
      </c>
      <c r="AI16" s="4">
        <v>0</v>
      </c>
      <c r="AJ16" t="s">
        <v>72</v>
      </c>
      <c r="AK16" t="s">
        <v>62</v>
      </c>
      <c r="AL16" t="s">
        <v>62</v>
      </c>
      <c r="AM16" t="s">
        <v>63</v>
      </c>
      <c r="AN16" t="s">
        <v>64</v>
      </c>
      <c r="AO16" t="s">
        <v>79</v>
      </c>
      <c r="AP16" t="s">
        <v>66</v>
      </c>
    </row>
    <row r="17" spans="1:42" x14ac:dyDescent="0.25">
      <c r="A17" t="str">
        <f>HYPERLINK("HTTP://10.0.1.74/krs/94/detail","/krs/94")</f>
        <v>/krs/94</v>
      </c>
      <c r="B17">
        <v>94</v>
      </c>
      <c r="C17" t="s">
        <v>53</v>
      </c>
      <c r="D17" t="s">
        <v>47</v>
      </c>
      <c r="E17" t="s">
        <v>98</v>
      </c>
      <c r="F17" t="s">
        <v>108</v>
      </c>
      <c r="G17" s="1">
        <v>42985</v>
      </c>
      <c r="H17" t="s">
        <v>100</v>
      </c>
      <c r="I17" t="s">
        <v>51</v>
      </c>
      <c r="K17" s="3">
        <v>50</v>
      </c>
      <c r="L17" s="3">
        <v>20</v>
      </c>
      <c r="M17" s="3">
        <v>70</v>
      </c>
      <c r="N17" s="4">
        <v>0.71</v>
      </c>
      <c r="O17" s="3">
        <v>14</v>
      </c>
      <c r="P17" s="3"/>
      <c r="Q17" s="3">
        <v>8</v>
      </c>
      <c r="R17" s="3">
        <v>14</v>
      </c>
      <c r="S17" s="5">
        <v>3.9</v>
      </c>
      <c r="T17" s="5">
        <v>3.6</v>
      </c>
      <c r="U17" s="4">
        <v>0.73</v>
      </c>
      <c r="V17" s="4">
        <v>0.71</v>
      </c>
      <c r="W17" s="4">
        <v>0.93</v>
      </c>
      <c r="X17" s="4">
        <v>0.93</v>
      </c>
      <c r="Y17" s="4">
        <v>0.56999999999999995</v>
      </c>
      <c r="Z17" s="4">
        <v>0.28999999999999998</v>
      </c>
      <c r="AA17" s="3">
        <v>14</v>
      </c>
      <c r="AB17" s="3">
        <v>8</v>
      </c>
      <c r="AC17" s="5">
        <v>3.8</v>
      </c>
      <c r="AD17" s="4">
        <v>0.93</v>
      </c>
      <c r="AE17" s="4">
        <v>0.76</v>
      </c>
      <c r="AF17" s="4">
        <v>0.56999999999999995</v>
      </c>
      <c r="AG17" s="4">
        <v>0.24</v>
      </c>
      <c r="AH17" s="4">
        <v>0.71</v>
      </c>
      <c r="AI17" s="4">
        <v>0</v>
      </c>
      <c r="AJ17" t="s">
        <v>72</v>
      </c>
      <c r="AK17" t="s">
        <v>62</v>
      </c>
      <c r="AL17" t="s">
        <v>62</v>
      </c>
      <c r="AM17" t="s">
        <v>63</v>
      </c>
      <c r="AN17" t="s">
        <v>97</v>
      </c>
      <c r="AO17" t="s">
        <v>65</v>
      </c>
      <c r="AP17" t="s">
        <v>66</v>
      </c>
    </row>
    <row r="18" spans="1:42" x14ac:dyDescent="0.25">
      <c r="A18" t="str">
        <f>HYPERLINK("HTTP://10.0.1.74/krs/95/detail","/krs/95")</f>
        <v>/krs/95</v>
      </c>
      <c r="B18">
        <v>95</v>
      </c>
      <c r="C18" t="s">
        <v>53</v>
      </c>
      <c r="D18" t="s">
        <v>47</v>
      </c>
      <c r="E18" t="s">
        <v>98</v>
      </c>
      <c r="F18" t="s">
        <v>110</v>
      </c>
      <c r="G18" s="1">
        <v>42986</v>
      </c>
      <c r="H18" t="s">
        <v>100</v>
      </c>
      <c r="I18" t="s">
        <v>51</v>
      </c>
      <c r="K18" s="3">
        <v>50</v>
      </c>
      <c r="L18" s="3">
        <v>20</v>
      </c>
      <c r="M18" s="3">
        <v>70</v>
      </c>
      <c r="N18" s="4">
        <v>0.71</v>
      </c>
      <c r="O18" s="3">
        <v>14</v>
      </c>
      <c r="P18" s="3"/>
      <c r="Q18" s="3">
        <v>8</v>
      </c>
      <c r="R18" s="3">
        <v>14</v>
      </c>
      <c r="S18" s="5">
        <v>3.9</v>
      </c>
      <c r="T18" s="5">
        <v>3.6</v>
      </c>
      <c r="U18" s="4">
        <v>0.71</v>
      </c>
      <c r="V18" s="4">
        <v>0.71</v>
      </c>
      <c r="W18" s="4">
        <v>1</v>
      </c>
      <c r="X18" s="4">
        <v>0.97</v>
      </c>
      <c r="Y18" s="4">
        <v>0.56999999999999995</v>
      </c>
      <c r="Z18" s="4">
        <v>0.28999999999999998</v>
      </c>
      <c r="AA18" s="3">
        <v>14</v>
      </c>
      <c r="AB18" s="3">
        <v>9</v>
      </c>
      <c r="AC18" s="5">
        <v>3.6</v>
      </c>
      <c r="AD18" s="4">
        <v>0.93</v>
      </c>
      <c r="AE18" s="4">
        <v>0.73</v>
      </c>
      <c r="AF18" s="4">
        <v>0.64</v>
      </c>
      <c r="AG18" s="4">
        <v>0.27</v>
      </c>
      <c r="AH18" s="4">
        <v>0.71</v>
      </c>
      <c r="AI18" s="4">
        <v>0</v>
      </c>
      <c r="AJ18" t="s">
        <v>72</v>
      </c>
      <c r="AK18" t="s">
        <v>62</v>
      </c>
      <c r="AL18" t="s">
        <v>62</v>
      </c>
      <c r="AM18" t="s">
        <v>63</v>
      </c>
      <c r="AN18" t="s">
        <v>97</v>
      </c>
      <c r="AO18" t="s">
        <v>79</v>
      </c>
      <c r="AP18" t="s">
        <v>66</v>
      </c>
    </row>
    <row r="19" spans="1:42" x14ac:dyDescent="0.25">
      <c r="A19" t="str">
        <f>HYPERLINK("HTTP://10.0.1.74/krs/96/detail","/krs/96")</f>
        <v>/krs/96</v>
      </c>
      <c r="B19">
        <v>96</v>
      </c>
      <c r="C19" t="s">
        <v>53</v>
      </c>
      <c r="D19" t="s">
        <v>47</v>
      </c>
      <c r="E19" t="s">
        <v>87</v>
      </c>
      <c r="F19" t="s">
        <v>89</v>
      </c>
      <c r="G19" s="1">
        <v>42990</v>
      </c>
      <c r="H19" t="s">
        <v>88</v>
      </c>
      <c r="I19" t="s">
        <v>51</v>
      </c>
      <c r="K19" s="3">
        <v>453</v>
      </c>
      <c r="L19" s="3">
        <v>197</v>
      </c>
      <c r="M19" s="3">
        <v>650</v>
      </c>
      <c r="N19" s="4">
        <v>0.7</v>
      </c>
      <c r="O19" s="3">
        <v>25</v>
      </c>
      <c r="P19" s="3"/>
      <c r="Q19" s="3">
        <v>19</v>
      </c>
      <c r="R19" s="3">
        <v>25</v>
      </c>
      <c r="S19" s="5">
        <v>3.8</v>
      </c>
      <c r="T19" s="5">
        <v>4</v>
      </c>
      <c r="U19" s="4">
        <v>0.79</v>
      </c>
      <c r="V19" s="4">
        <v>0.7</v>
      </c>
      <c r="W19" s="4">
        <v>1</v>
      </c>
      <c r="X19" s="4">
        <v>0.86</v>
      </c>
      <c r="Y19" s="4">
        <v>0.76</v>
      </c>
      <c r="Z19" s="4">
        <v>0.3</v>
      </c>
      <c r="AA19" s="3">
        <v>25</v>
      </c>
      <c r="AB19" s="3">
        <v>19</v>
      </c>
      <c r="AC19" s="5">
        <v>4.0999999999999996</v>
      </c>
      <c r="AD19" s="4">
        <v>1</v>
      </c>
      <c r="AE19" s="4">
        <v>0.81</v>
      </c>
      <c r="AF19" s="4">
        <v>0.76</v>
      </c>
      <c r="AG19" s="4">
        <v>0.19</v>
      </c>
      <c r="AH19" s="4">
        <v>0.69</v>
      </c>
      <c r="AI19" s="4">
        <v>0.7</v>
      </c>
      <c r="AJ19" t="s">
        <v>72</v>
      </c>
      <c r="AK19" t="s">
        <v>62</v>
      </c>
      <c r="AL19" t="s">
        <v>62</v>
      </c>
      <c r="AM19" t="s">
        <v>73</v>
      </c>
      <c r="AN19" t="s">
        <v>97</v>
      </c>
      <c r="AO19" t="s">
        <v>74</v>
      </c>
      <c r="AP19" t="s">
        <v>75</v>
      </c>
    </row>
    <row r="20" spans="1:42" x14ac:dyDescent="0.25">
      <c r="A20" t="str">
        <f>HYPERLINK("HTTP://10.0.1.74/krs/97/detail","/krs/97")</f>
        <v>/krs/97</v>
      </c>
      <c r="B20">
        <v>97</v>
      </c>
      <c r="C20" t="s">
        <v>46</v>
      </c>
      <c r="D20" t="s">
        <v>47</v>
      </c>
      <c r="E20" t="s">
        <v>111</v>
      </c>
      <c r="F20" t="s">
        <v>112</v>
      </c>
      <c r="G20" s="1">
        <v>42992.528796296298</v>
      </c>
      <c r="H20" t="s">
        <v>113</v>
      </c>
      <c r="I20" t="s">
        <v>57</v>
      </c>
      <c r="J20" t="s">
        <v>114</v>
      </c>
      <c r="K20" s="3">
        <v>47</v>
      </c>
      <c r="L20" s="3">
        <v>8</v>
      </c>
      <c r="M20" s="3">
        <v>55</v>
      </c>
      <c r="N20" s="4">
        <v>0.85</v>
      </c>
      <c r="O20" s="3">
        <v>11</v>
      </c>
      <c r="P20" s="3"/>
      <c r="Q20" s="3">
        <v>10</v>
      </c>
      <c r="R20" s="3">
        <v>11</v>
      </c>
      <c r="S20" s="5">
        <v>4.4000000000000004</v>
      </c>
      <c r="T20" s="5">
        <v>4.5</v>
      </c>
      <c r="U20" s="4">
        <v>0.89</v>
      </c>
      <c r="V20" s="4">
        <v>0.85</v>
      </c>
      <c r="W20" s="4">
        <v>1</v>
      </c>
      <c r="X20" s="4">
        <v>0.97</v>
      </c>
      <c r="Y20" s="4">
        <v>0.91</v>
      </c>
      <c r="Z20" s="4">
        <v>0.15</v>
      </c>
      <c r="AA20" s="3">
        <v>11</v>
      </c>
      <c r="AB20" s="3">
        <v>10</v>
      </c>
      <c r="AC20" s="5">
        <v>4.4000000000000004</v>
      </c>
      <c r="AD20" s="4">
        <v>1</v>
      </c>
      <c r="AE20" s="4">
        <v>0.88</v>
      </c>
      <c r="AF20" s="4">
        <v>0.91</v>
      </c>
      <c r="AG20" s="4">
        <v>0.12</v>
      </c>
      <c r="AH20" s="4">
        <v>0.86</v>
      </c>
      <c r="AI20" s="4">
        <v>0</v>
      </c>
      <c r="AJ20" t="s">
        <v>72</v>
      </c>
      <c r="AK20" t="s">
        <v>62</v>
      </c>
      <c r="AL20" t="s">
        <v>62</v>
      </c>
      <c r="AM20" t="s">
        <v>63</v>
      </c>
      <c r="AN20" t="s">
        <v>97</v>
      </c>
      <c r="AO20" t="s">
        <v>79</v>
      </c>
      <c r="AP20" t="s">
        <v>66</v>
      </c>
    </row>
    <row r="21" spans="1:42" x14ac:dyDescent="0.25">
      <c r="A21" t="str">
        <f>HYPERLINK("HTTP://10.0.1.74/krs/98/detail","/krs/98")</f>
        <v>/krs/98</v>
      </c>
      <c r="B21">
        <v>98</v>
      </c>
      <c r="C21" t="s">
        <v>67</v>
      </c>
      <c r="D21" t="s">
        <v>47</v>
      </c>
      <c r="E21" t="s">
        <v>68</v>
      </c>
      <c r="F21" t="s">
        <v>115</v>
      </c>
      <c r="G21" s="1">
        <v>42992.563888888886</v>
      </c>
      <c r="H21" t="s">
        <v>70</v>
      </c>
      <c r="I21" t="s">
        <v>51</v>
      </c>
      <c r="J21" t="s">
        <v>71</v>
      </c>
      <c r="K21" s="3">
        <v>0</v>
      </c>
      <c r="L21" s="3">
        <v>300</v>
      </c>
      <c r="M21" s="3">
        <v>300</v>
      </c>
      <c r="N21" s="4">
        <v>0</v>
      </c>
      <c r="O21" s="3">
        <v>25</v>
      </c>
      <c r="P21" s="3"/>
      <c r="Q21" s="3">
        <v>0</v>
      </c>
      <c r="R21" s="3">
        <v>25</v>
      </c>
      <c r="S21" s="5">
        <v>2</v>
      </c>
      <c r="T21" s="5">
        <v>1</v>
      </c>
      <c r="U21" s="4">
        <v>0.2</v>
      </c>
      <c r="V21" s="4">
        <v>0</v>
      </c>
      <c r="W21" s="4">
        <v>0</v>
      </c>
      <c r="X21" s="4">
        <v>0</v>
      </c>
      <c r="Y21" s="4">
        <v>0</v>
      </c>
      <c r="Z21" s="4">
        <v>1</v>
      </c>
      <c r="AA21" s="3">
        <v>0</v>
      </c>
      <c r="AB21" s="3">
        <v>0</v>
      </c>
      <c r="AC21" s="5">
        <v>0</v>
      </c>
      <c r="AD21" s="4">
        <v>0</v>
      </c>
      <c r="AE21" s="4">
        <v>0</v>
      </c>
      <c r="AF21" s="4">
        <v>0</v>
      </c>
      <c r="AG21" s="4">
        <v>1</v>
      </c>
      <c r="AH21" s="4">
        <v>0</v>
      </c>
      <c r="AI21" s="4">
        <v>0</v>
      </c>
      <c r="AJ21" t="s">
        <v>60</v>
      </c>
      <c r="AK21" t="s">
        <v>86</v>
      </c>
      <c r="AL21" t="s">
        <v>86</v>
      </c>
      <c r="AM21" t="s">
        <v>63</v>
      </c>
      <c r="AN21" t="s">
        <v>97</v>
      </c>
      <c r="AO21" t="s">
        <v>79</v>
      </c>
      <c r="AP21" t="s">
        <v>75</v>
      </c>
    </row>
    <row r="22" spans="1:42" x14ac:dyDescent="0.25">
      <c r="A22" t="str">
        <f>HYPERLINK("HTTP://10.0.1.74/krs/99/detail","/krs/99")</f>
        <v>/krs/99</v>
      </c>
      <c r="B22">
        <v>99</v>
      </c>
      <c r="C22" t="s">
        <v>53</v>
      </c>
      <c r="D22" t="s">
        <v>47</v>
      </c>
      <c r="E22" t="s">
        <v>94</v>
      </c>
      <c r="F22" t="s">
        <v>55</v>
      </c>
      <c r="G22" s="1">
        <v>42993.445405092592</v>
      </c>
      <c r="H22" t="s">
        <v>96</v>
      </c>
      <c r="I22" t="s">
        <v>51</v>
      </c>
      <c r="K22" s="3">
        <v>153</v>
      </c>
      <c r="L22" s="3">
        <v>119</v>
      </c>
      <c r="M22" s="3">
        <v>272</v>
      </c>
      <c r="N22" s="4">
        <v>0.56000000000000005</v>
      </c>
      <c r="O22" s="3">
        <v>16</v>
      </c>
      <c r="P22" s="3"/>
      <c r="Q22" s="3">
        <v>6</v>
      </c>
      <c r="R22" s="3">
        <v>16</v>
      </c>
      <c r="S22" s="5">
        <v>3.2</v>
      </c>
      <c r="T22" s="5">
        <v>3.3</v>
      </c>
      <c r="U22" s="4">
        <v>0.65</v>
      </c>
      <c r="V22" s="4">
        <v>0.56000000000000005</v>
      </c>
      <c r="W22" s="4">
        <v>0.88</v>
      </c>
      <c r="X22" s="4">
        <v>0.85</v>
      </c>
      <c r="Y22" s="4">
        <v>0.38</v>
      </c>
      <c r="Z22" s="4">
        <v>0.44</v>
      </c>
      <c r="AA22" s="3">
        <v>16</v>
      </c>
      <c r="AB22" s="3">
        <v>3</v>
      </c>
      <c r="AC22" s="5">
        <v>3.3</v>
      </c>
      <c r="AD22" s="4">
        <v>0.75</v>
      </c>
      <c r="AE22" s="4">
        <v>0.66</v>
      </c>
      <c r="AF22" s="4">
        <v>0.19</v>
      </c>
      <c r="AG22" s="4">
        <v>0.34</v>
      </c>
      <c r="AH22" s="4">
        <v>0.7</v>
      </c>
      <c r="AI22" s="4">
        <v>0.66</v>
      </c>
      <c r="AJ22" t="s">
        <v>72</v>
      </c>
      <c r="AK22" t="s">
        <v>86</v>
      </c>
      <c r="AL22" t="s">
        <v>62</v>
      </c>
      <c r="AM22" t="s">
        <v>104</v>
      </c>
      <c r="AN22" t="s">
        <v>64</v>
      </c>
      <c r="AO22" t="s">
        <v>74</v>
      </c>
      <c r="AP22" t="s">
        <v>75</v>
      </c>
    </row>
    <row r="23" spans="1:42" x14ac:dyDescent="0.25">
      <c r="A23" t="str">
        <f>HYPERLINK("HTTP://10.0.1.74/krs/100/detail","/krs/100")</f>
        <v>/krs/100</v>
      </c>
      <c r="B23">
        <v>100</v>
      </c>
      <c r="C23" t="s">
        <v>46</v>
      </c>
      <c r="D23" t="s">
        <v>47</v>
      </c>
      <c r="E23" t="s">
        <v>54</v>
      </c>
      <c r="F23" t="s">
        <v>116</v>
      </c>
      <c r="G23" s="1">
        <v>42983</v>
      </c>
      <c r="H23" t="s">
        <v>117</v>
      </c>
      <c r="I23" t="s">
        <v>51</v>
      </c>
      <c r="J23" t="s">
        <v>58</v>
      </c>
      <c r="K23" s="3">
        <v>498</v>
      </c>
      <c r="L23" s="3">
        <v>102</v>
      </c>
      <c r="M23" s="3">
        <v>600</v>
      </c>
      <c r="N23" s="4">
        <v>0.83</v>
      </c>
      <c r="O23" s="3">
        <v>20</v>
      </c>
      <c r="P23" s="3"/>
      <c r="Q23" s="3">
        <v>18</v>
      </c>
      <c r="R23" s="3">
        <v>20</v>
      </c>
      <c r="S23" s="5">
        <v>4.3</v>
      </c>
      <c r="T23" s="5">
        <v>4.2</v>
      </c>
      <c r="U23" s="4">
        <v>0.83</v>
      </c>
      <c r="V23" s="4">
        <v>0.83</v>
      </c>
      <c r="W23" s="4">
        <v>1</v>
      </c>
      <c r="X23" s="4">
        <v>1.01</v>
      </c>
      <c r="Y23" s="4">
        <v>0.9</v>
      </c>
      <c r="Z23" s="4">
        <v>0.17</v>
      </c>
      <c r="AA23" s="3">
        <v>19</v>
      </c>
      <c r="AB23" s="3">
        <v>13</v>
      </c>
      <c r="AC23" s="5">
        <v>4.0999999999999996</v>
      </c>
      <c r="AD23" s="4">
        <v>1</v>
      </c>
      <c r="AE23" s="4">
        <v>0.82</v>
      </c>
      <c r="AF23" s="4">
        <v>0.68</v>
      </c>
      <c r="AG23" s="4">
        <v>0.18</v>
      </c>
      <c r="AH23" s="4">
        <v>0.85</v>
      </c>
      <c r="AI23" s="4">
        <v>0</v>
      </c>
      <c r="AJ23" t="s">
        <v>72</v>
      </c>
      <c r="AK23" t="s">
        <v>62</v>
      </c>
      <c r="AL23" t="s">
        <v>62</v>
      </c>
      <c r="AM23" t="s">
        <v>63</v>
      </c>
      <c r="AN23" t="s">
        <v>64</v>
      </c>
      <c r="AO23" t="s">
        <v>79</v>
      </c>
      <c r="AP23" t="s">
        <v>66</v>
      </c>
    </row>
    <row r="24" spans="1:42" x14ac:dyDescent="0.25">
      <c r="A24" t="str">
        <f>HYPERLINK("HTTP://10.0.1.74/krs/103/detail","/krs/103")</f>
        <v>/krs/103</v>
      </c>
      <c r="B24">
        <v>103</v>
      </c>
      <c r="C24" t="s">
        <v>46</v>
      </c>
      <c r="D24" t="s">
        <v>47</v>
      </c>
      <c r="E24" t="s">
        <v>54</v>
      </c>
      <c r="F24" t="s">
        <v>118</v>
      </c>
      <c r="G24" s="1">
        <v>42990</v>
      </c>
      <c r="H24" t="s">
        <v>119</v>
      </c>
      <c r="I24" t="s">
        <v>51</v>
      </c>
      <c r="J24" t="s">
        <v>120</v>
      </c>
      <c r="K24" s="3"/>
      <c r="L24" s="3"/>
      <c r="M24" s="3"/>
      <c r="N24" s="4"/>
      <c r="O24" s="3"/>
      <c r="P24" s="3"/>
      <c r="Q24" s="3"/>
      <c r="R24" s="3"/>
      <c r="S24" s="5"/>
      <c r="T24" s="5"/>
      <c r="U24" s="4"/>
      <c r="V24" s="4"/>
      <c r="W24" s="4"/>
      <c r="X24" s="4"/>
      <c r="Y24" s="4"/>
      <c r="Z24" s="4"/>
      <c r="AA24" s="3"/>
      <c r="AB24" s="3"/>
      <c r="AC24" s="5"/>
      <c r="AD24" s="4"/>
      <c r="AE24" s="4"/>
      <c r="AF24" s="4"/>
      <c r="AG24" s="4"/>
      <c r="AH24" s="4"/>
      <c r="AI24" s="4"/>
      <c r="AJ24" t="s">
        <v>52</v>
      </c>
      <c r="AK24" t="s">
        <v>52</v>
      </c>
      <c r="AL24" t="s">
        <v>52</v>
      </c>
      <c r="AM24" t="s">
        <v>52</v>
      </c>
      <c r="AN24" t="s">
        <v>52</v>
      </c>
      <c r="AO24" t="s">
        <v>52</v>
      </c>
      <c r="AP24" t="s">
        <v>52</v>
      </c>
    </row>
    <row r="25" spans="1:42" x14ac:dyDescent="0.25">
      <c r="A25" t="str">
        <f>HYPERLINK("HTTP://10.0.1.74/krs/104/detail","/krs/104")</f>
        <v>/krs/104</v>
      </c>
      <c r="B25">
        <v>104</v>
      </c>
      <c r="C25" t="s">
        <v>46</v>
      </c>
      <c r="D25" t="s">
        <v>47</v>
      </c>
      <c r="E25" t="s">
        <v>54</v>
      </c>
      <c r="F25" t="s">
        <v>99</v>
      </c>
      <c r="G25" s="1">
        <v>42983</v>
      </c>
      <c r="H25" t="s">
        <v>121</v>
      </c>
      <c r="I25" t="s">
        <v>51</v>
      </c>
      <c r="J25" t="s">
        <v>122</v>
      </c>
      <c r="K25" s="3">
        <v>578</v>
      </c>
      <c r="L25" s="3">
        <v>82</v>
      </c>
      <c r="M25" s="3">
        <v>660</v>
      </c>
      <c r="N25" s="4">
        <v>0.88</v>
      </c>
      <c r="O25" s="3">
        <v>22</v>
      </c>
      <c r="P25" s="3"/>
      <c r="Q25" s="3">
        <v>21</v>
      </c>
      <c r="R25" s="3">
        <v>22</v>
      </c>
      <c r="S25" s="5">
        <v>4.5</v>
      </c>
      <c r="T25" s="5">
        <v>4.3</v>
      </c>
      <c r="U25" s="4">
        <v>0.86</v>
      </c>
      <c r="V25" s="4">
        <v>0.88</v>
      </c>
      <c r="W25" s="4">
        <v>1</v>
      </c>
      <c r="X25" s="4">
        <v>1.02</v>
      </c>
      <c r="Y25" s="4">
        <v>0.95</v>
      </c>
      <c r="Z25" s="4">
        <v>0.12</v>
      </c>
      <c r="AA25" s="3">
        <v>22</v>
      </c>
      <c r="AB25" s="3">
        <v>20</v>
      </c>
      <c r="AC25" s="5">
        <v>4.3</v>
      </c>
      <c r="AD25" s="4">
        <v>1</v>
      </c>
      <c r="AE25" s="4">
        <v>0.86</v>
      </c>
      <c r="AF25" s="4">
        <v>0.91</v>
      </c>
      <c r="AG25" s="4">
        <v>0.14000000000000001</v>
      </c>
      <c r="AH25" s="4">
        <v>0.88</v>
      </c>
      <c r="AI25" s="4">
        <v>0.86</v>
      </c>
      <c r="AJ25" t="s">
        <v>72</v>
      </c>
      <c r="AK25" t="s">
        <v>62</v>
      </c>
      <c r="AL25" t="s">
        <v>62</v>
      </c>
      <c r="AM25" t="s">
        <v>63</v>
      </c>
      <c r="AN25" t="s">
        <v>97</v>
      </c>
      <c r="AO25" t="s">
        <v>79</v>
      </c>
      <c r="AP25" t="s">
        <v>66</v>
      </c>
    </row>
    <row r="26" spans="1:42" x14ac:dyDescent="0.25">
      <c r="A26" t="str">
        <f>HYPERLINK("HTTP://10.0.1.74/krs/107/detail","/krs/107")</f>
        <v>/krs/107</v>
      </c>
      <c r="B26">
        <v>107</v>
      </c>
      <c r="C26" t="s">
        <v>46</v>
      </c>
      <c r="D26" t="s">
        <v>47</v>
      </c>
      <c r="E26" t="s">
        <v>54</v>
      </c>
      <c r="F26" t="s">
        <v>123</v>
      </c>
      <c r="G26" s="1">
        <v>42984</v>
      </c>
      <c r="H26" t="s">
        <v>121</v>
      </c>
      <c r="I26" t="s">
        <v>51</v>
      </c>
      <c r="J26" t="s">
        <v>124</v>
      </c>
      <c r="K26" s="3"/>
      <c r="L26" s="3"/>
      <c r="M26" s="3"/>
      <c r="N26" s="4"/>
      <c r="O26" s="3"/>
      <c r="P26" s="3"/>
      <c r="Q26" s="3"/>
      <c r="R26" s="3"/>
      <c r="S26" s="5"/>
      <c r="T26" s="5"/>
      <c r="U26" s="4"/>
      <c r="V26" s="4"/>
      <c r="W26" s="4"/>
      <c r="X26" s="4"/>
      <c r="Y26" s="4"/>
      <c r="Z26" s="4"/>
      <c r="AA26" s="3"/>
      <c r="AB26" s="3"/>
      <c r="AC26" s="5"/>
      <c r="AD26" s="4"/>
      <c r="AE26" s="4"/>
      <c r="AF26" s="4"/>
      <c r="AG26" s="4"/>
      <c r="AH26" s="4"/>
      <c r="AI26" s="4"/>
      <c r="AJ26" t="s">
        <v>52</v>
      </c>
      <c r="AK26" t="s">
        <v>52</v>
      </c>
      <c r="AL26" t="s">
        <v>52</v>
      </c>
      <c r="AM26" t="s">
        <v>52</v>
      </c>
      <c r="AN26" t="s">
        <v>52</v>
      </c>
      <c r="AO26" t="s">
        <v>52</v>
      </c>
      <c r="AP26" t="s">
        <v>52</v>
      </c>
    </row>
    <row r="27" spans="1:42" x14ac:dyDescent="0.25">
      <c r="A27" t="str">
        <f>HYPERLINK("HTTP://10.0.1.74/krs/108/detail","/krs/108")</f>
        <v>/krs/108</v>
      </c>
      <c r="B27">
        <v>108</v>
      </c>
      <c r="C27" t="s">
        <v>53</v>
      </c>
      <c r="D27" t="s">
        <v>47</v>
      </c>
      <c r="E27" t="s">
        <v>125</v>
      </c>
      <c r="F27" t="s">
        <v>126</v>
      </c>
      <c r="G27" s="1">
        <v>42990</v>
      </c>
      <c r="H27" t="s">
        <v>127</v>
      </c>
      <c r="I27" t="s">
        <v>51</v>
      </c>
      <c r="K27" s="3">
        <v>269</v>
      </c>
      <c r="L27" s="3">
        <v>156</v>
      </c>
      <c r="M27" s="3">
        <v>425</v>
      </c>
      <c r="N27" s="4">
        <v>0.63</v>
      </c>
      <c r="O27" s="3">
        <v>25</v>
      </c>
      <c r="P27" s="3"/>
      <c r="Q27" s="3">
        <v>10</v>
      </c>
      <c r="R27" s="3">
        <v>25</v>
      </c>
      <c r="S27" s="5">
        <v>3.5</v>
      </c>
      <c r="T27" s="5">
        <v>3.5</v>
      </c>
      <c r="U27" s="4">
        <v>0.7</v>
      </c>
      <c r="V27" s="4">
        <v>0.63</v>
      </c>
      <c r="W27" s="4">
        <v>1</v>
      </c>
      <c r="X27" s="4">
        <v>0</v>
      </c>
      <c r="Y27" s="4">
        <v>0.4</v>
      </c>
      <c r="Z27" s="4">
        <v>0.37</v>
      </c>
      <c r="AA27" s="3">
        <v>0</v>
      </c>
      <c r="AB27" s="3">
        <v>0</v>
      </c>
      <c r="AC27" s="5">
        <v>0</v>
      </c>
      <c r="AD27" s="4">
        <v>0</v>
      </c>
      <c r="AE27" s="4">
        <v>0</v>
      </c>
      <c r="AF27" s="4">
        <v>0</v>
      </c>
      <c r="AG27" s="4">
        <v>1</v>
      </c>
      <c r="AH27" s="4">
        <v>0.81</v>
      </c>
      <c r="AI27" s="4">
        <v>0.38</v>
      </c>
      <c r="AJ27" t="s">
        <v>72</v>
      </c>
      <c r="AK27" t="s">
        <v>61</v>
      </c>
      <c r="AL27" t="s">
        <v>62</v>
      </c>
      <c r="AM27" t="s">
        <v>63</v>
      </c>
      <c r="AN27" t="s">
        <v>64</v>
      </c>
      <c r="AO27" t="s">
        <v>79</v>
      </c>
      <c r="AP27" t="s">
        <v>75</v>
      </c>
    </row>
    <row r="28" spans="1:42" x14ac:dyDescent="0.25">
      <c r="A28" t="str">
        <f>HYPERLINK("HTTP://10.0.1.74/krs/111/detail","/krs/111")</f>
        <v>/krs/111</v>
      </c>
      <c r="B28">
        <v>111</v>
      </c>
      <c r="C28" t="s">
        <v>53</v>
      </c>
      <c r="D28" t="s">
        <v>47</v>
      </c>
      <c r="E28" t="s">
        <v>125</v>
      </c>
      <c r="F28" t="s">
        <v>76</v>
      </c>
      <c r="G28" s="1">
        <v>42994</v>
      </c>
      <c r="H28" t="s">
        <v>127</v>
      </c>
      <c r="I28" t="s">
        <v>51</v>
      </c>
      <c r="K28" s="3">
        <v>213</v>
      </c>
      <c r="L28" s="3">
        <v>167</v>
      </c>
      <c r="M28" s="3">
        <v>380</v>
      </c>
      <c r="N28" s="4">
        <v>0.56000000000000005</v>
      </c>
      <c r="O28" s="3">
        <v>20</v>
      </c>
      <c r="P28" s="3"/>
      <c r="Q28" s="3">
        <v>9</v>
      </c>
      <c r="R28" s="3">
        <v>20</v>
      </c>
      <c r="S28" s="5">
        <v>3.2</v>
      </c>
      <c r="T28" s="5">
        <v>3.3</v>
      </c>
      <c r="U28" s="4">
        <v>0.66</v>
      </c>
      <c r="V28" s="4">
        <v>0.56000000000000005</v>
      </c>
      <c r="W28" s="4">
        <v>0.85</v>
      </c>
      <c r="X28" s="4">
        <v>0</v>
      </c>
      <c r="Y28" s="4">
        <v>0.45</v>
      </c>
      <c r="Z28" s="4">
        <v>0.44</v>
      </c>
      <c r="AA28" s="3">
        <v>0</v>
      </c>
      <c r="AB28" s="3">
        <v>0</v>
      </c>
      <c r="AC28" s="5">
        <v>0</v>
      </c>
      <c r="AD28" s="4">
        <v>0</v>
      </c>
      <c r="AE28" s="4">
        <v>0</v>
      </c>
      <c r="AF28" s="4">
        <v>0</v>
      </c>
      <c r="AG28" s="4">
        <v>1</v>
      </c>
      <c r="AH28" s="4">
        <v>0.63</v>
      </c>
      <c r="AI28" s="4">
        <v>0.4</v>
      </c>
      <c r="AJ28" t="s">
        <v>60</v>
      </c>
      <c r="AK28" t="s">
        <v>86</v>
      </c>
      <c r="AL28" t="s">
        <v>62</v>
      </c>
      <c r="AM28" t="s">
        <v>63</v>
      </c>
      <c r="AN28" t="s">
        <v>64</v>
      </c>
      <c r="AO28" t="s">
        <v>79</v>
      </c>
      <c r="AP28" t="s">
        <v>75</v>
      </c>
    </row>
    <row r="29" spans="1:42" x14ac:dyDescent="0.25">
      <c r="A29" t="str">
        <f>HYPERLINK("HTTP://10.0.1.74/krs/115/detail","/krs/115")</f>
        <v>/krs/115</v>
      </c>
      <c r="B29">
        <v>115</v>
      </c>
      <c r="C29" t="s">
        <v>46</v>
      </c>
      <c r="D29" t="s">
        <v>47</v>
      </c>
      <c r="E29" t="s">
        <v>54</v>
      </c>
      <c r="F29" t="s">
        <v>112</v>
      </c>
      <c r="G29" s="1">
        <v>42986</v>
      </c>
      <c r="H29" t="s">
        <v>128</v>
      </c>
      <c r="I29" t="s">
        <v>51</v>
      </c>
      <c r="J29" t="s">
        <v>129</v>
      </c>
      <c r="K29" s="3">
        <v>870</v>
      </c>
      <c r="L29" s="3">
        <v>82</v>
      </c>
      <c r="M29" s="3">
        <v>952</v>
      </c>
      <c r="N29" s="4">
        <v>0.91</v>
      </c>
      <c r="O29" s="3">
        <v>28</v>
      </c>
      <c r="P29" s="3"/>
      <c r="Q29" s="3">
        <v>0</v>
      </c>
      <c r="R29" s="3">
        <v>28</v>
      </c>
      <c r="S29" s="5">
        <v>4.7</v>
      </c>
      <c r="T29" s="5">
        <v>1</v>
      </c>
      <c r="U29" s="4">
        <v>0.2</v>
      </c>
      <c r="V29" s="4">
        <v>0.91</v>
      </c>
      <c r="W29" s="4">
        <v>0</v>
      </c>
      <c r="X29" s="4">
        <v>0</v>
      </c>
      <c r="Y29" s="4">
        <v>0</v>
      </c>
      <c r="Z29" s="4">
        <v>0.09</v>
      </c>
      <c r="AA29" s="3">
        <v>0</v>
      </c>
      <c r="AB29" s="3">
        <v>0</v>
      </c>
      <c r="AC29" s="5">
        <v>0</v>
      </c>
      <c r="AD29" s="4">
        <v>0</v>
      </c>
      <c r="AE29" s="4">
        <v>0</v>
      </c>
      <c r="AF29" s="4">
        <v>0</v>
      </c>
      <c r="AG29" s="4">
        <v>1</v>
      </c>
      <c r="AH29" s="4">
        <v>0.95</v>
      </c>
      <c r="AI29" s="4">
        <v>0.79</v>
      </c>
      <c r="AJ29" t="s">
        <v>60</v>
      </c>
      <c r="AK29" t="s">
        <v>62</v>
      </c>
      <c r="AL29" t="s">
        <v>86</v>
      </c>
      <c r="AM29" t="s">
        <v>63</v>
      </c>
      <c r="AN29" t="s">
        <v>97</v>
      </c>
      <c r="AO29" t="s">
        <v>79</v>
      </c>
      <c r="AP29" t="s">
        <v>75</v>
      </c>
    </row>
    <row r="30" spans="1:42" x14ac:dyDescent="0.25">
      <c r="A30" t="str">
        <f>HYPERLINK("HTTP://10.0.1.74/krs/116/detail","/krs/116")</f>
        <v>/krs/116</v>
      </c>
      <c r="B30">
        <v>116</v>
      </c>
      <c r="C30" t="s">
        <v>67</v>
      </c>
      <c r="D30" t="s">
        <v>47</v>
      </c>
      <c r="E30" t="s">
        <v>68</v>
      </c>
      <c r="F30" t="s">
        <v>130</v>
      </c>
      <c r="G30" s="1">
        <v>42990</v>
      </c>
      <c r="H30" t="s">
        <v>70</v>
      </c>
      <c r="I30" t="s">
        <v>51</v>
      </c>
      <c r="J30" t="s">
        <v>71</v>
      </c>
      <c r="K30" s="3">
        <v>147</v>
      </c>
      <c r="L30" s="3">
        <v>193</v>
      </c>
      <c r="M30" s="3">
        <v>340</v>
      </c>
      <c r="N30" s="4">
        <v>0.43</v>
      </c>
      <c r="O30" s="3">
        <v>17</v>
      </c>
      <c r="P30" s="3"/>
      <c r="Q30" s="3">
        <v>2</v>
      </c>
      <c r="R30" s="3">
        <v>17</v>
      </c>
      <c r="S30" s="5">
        <v>2.7</v>
      </c>
      <c r="T30" s="5">
        <v>2.7</v>
      </c>
      <c r="U30" s="4">
        <v>0.54</v>
      </c>
      <c r="V30" s="4">
        <v>0.43</v>
      </c>
      <c r="W30" s="4">
        <v>0.59</v>
      </c>
      <c r="X30" s="4">
        <v>0.7</v>
      </c>
      <c r="Y30" s="4">
        <v>0.12</v>
      </c>
      <c r="Z30" s="4">
        <v>0.56999999999999995</v>
      </c>
      <c r="AA30" s="3">
        <v>17</v>
      </c>
      <c r="AB30" s="3">
        <v>1</v>
      </c>
      <c r="AC30" s="5">
        <v>3.1</v>
      </c>
      <c r="AD30" s="4">
        <v>0.82</v>
      </c>
      <c r="AE30" s="4">
        <v>0.61</v>
      </c>
      <c r="AF30" s="4">
        <v>0.06</v>
      </c>
      <c r="AG30" s="4">
        <v>0.39</v>
      </c>
      <c r="AH30" s="4">
        <v>0.54</v>
      </c>
      <c r="AI30" s="4">
        <v>0.28000000000000003</v>
      </c>
      <c r="AJ30" t="s">
        <v>60</v>
      </c>
      <c r="AK30" t="s">
        <v>86</v>
      </c>
      <c r="AL30" t="s">
        <v>61</v>
      </c>
      <c r="AM30" t="s">
        <v>73</v>
      </c>
      <c r="AN30" t="s">
        <v>97</v>
      </c>
      <c r="AO30" t="s">
        <v>74</v>
      </c>
      <c r="AP30" t="s">
        <v>75</v>
      </c>
    </row>
    <row r="31" spans="1:42" x14ac:dyDescent="0.25">
      <c r="A31" t="str">
        <f>HYPERLINK("HTTP://10.0.1.74/krs/117/detail","/krs/117")</f>
        <v>/krs/117</v>
      </c>
      <c r="B31">
        <v>117</v>
      </c>
      <c r="C31" t="s">
        <v>46</v>
      </c>
      <c r="D31" t="s">
        <v>47</v>
      </c>
      <c r="E31" t="s">
        <v>54</v>
      </c>
      <c r="F31" t="s">
        <v>131</v>
      </c>
      <c r="G31" s="1">
        <v>42983</v>
      </c>
      <c r="H31" t="s">
        <v>128</v>
      </c>
      <c r="I31" t="s">
        <v>51</v>
      </c>
      <c r="J31" t="s">
        <v>132</v>
      </c>
      <c r="K31" s="3">
        <v>299</v>
      </c>
      <c r="L31" s="3">
        <v>79</v>
      </c>
      <c r="M31" s="3">
        <v>378</v>
      </c>
      <c r="N31" s="4">
        <v>0.79</v>
      </c>
      <c r="O31" s="3">
        <v>18</v>
      </c>
      <c r="P31" s="3"/>
      <c r="Q31" s="3">
        <v>13</v>
      </c>
      <c r="R31" s="3">
        <v>18</v>
      </c>
      <c r="S31" s="5">
        <v>4.2</v>
      </c>
      <c r="T31" s="5">
        <v>3.9</v>
      </c>
      <c r="U31" s="4">
        <v>0.79</v>
      </c>
      <c r="V31" s="4">
        <v>0.79</v>
      </c>
      <c r="W31" s="4">
        <v>0.94</v>
      </c>
      <c r="X31" s="4">
        <v>0.98</v>
      </c>
      <c r="Y31" s="4">
        <v>0.72</v>
      </c>
      <c r="Z31" s="4">
        <v>0.21</v>
      </c>
      <c r="AA31" s="3">
        <v>17</v>
      </c>
      <c r="AB31" s="3">
        <v>9</v>
      </c>
      <c r="AC31" s="5">
        <v>4</v>
      </c>
      <c r="AD31" s="4">
        <v>1</v>
      </c>
      <c r="AE31" s="4">
        <v>0.81</v>
      </c>
      <c r="AF31" s="4">
        <v>0.53</v>
      </c>
      <c r="AG31" s="4">
        <v>0.19</v>
      </c>
      <c r="AH31" s="4">
        <v>0.8</v>
      </c>
      <c r="AI31" s="4">
        <v>0</v>
      </c>
      <c r="AJ31" t="s">
        <v>72</v>
      </c>
      <c r="AK31" t="s">
        <v>62</v>
      </c>
      <c r="AL31" t="s">
        <v>62</v>
      </c>
      <c r="AM31" t="s">
        <v>63</v>
      </c>
      <c r="AN31" t="s">
        <v>64</v>
      </c>
      <c r="AO31" t="s">
        <v>79</v>
      </c>
      <c r="AP31" t="s">
        <v>66</v>
      </c>
    </row>
    <row r="32" spans="1:42" x14ac:dyDescent="0.25">
      <c r="A32" t="str">
        <f>HYPERLINK("HTTP://10.0.1.74/krs/122/detail","/krs/122")</f>
        <v>/krs/122</v>
      </c>
      <c r="B32">
        <v>122</v>
      </c>
      <c r="C32" t="s">
        <v>46</v>
      </c>
      <c r="D32" t="s">
        <v>47</v>
      </c>
      <c r="E32" t="s">
        <v>54</v>
      </c>
      <c r="F32" t="s">
        <v>115</v>
      </c>
      <c r="G32" s="1">
        <v>42998.362604166665</v>
      </c>
      <c r="H32" t="s">
        <v>117</v>
      </c>
      <c r="I32" t="s">
        <v>51</v>
      </c>
      <c r="J32" t="s">
        <v>133</v>
      </c>
      <c r="K32" s="3">
        <v>215</v>
      </c>
      <c r="L32" s="3">
        <v>85</v>
      </c>
      <c r="M32" s="3">
        <v>300</v>
      </c>
      <c r="N32" s="4">
        <v>0.72</v>
      </c>
      <c r="O32" s="3">
        <v>25</v>
      </c>
      <c r="P32" s="3"/>
      <c r="Q32" s="3">
        <v>17</v>
      </c>
      <c r="R32" s="3">
        <v>25</v>
      </c>
      <c r="S32" s="5">
        <v>3.9</v>
      </c>
      <c r="T32" s="5">
        <v>3.9</v>
      </c>
      <c r="U32" s="4">
        <v>0.78</v>
      </c>
      <c r="V32" s="4">
        <v>0.72</v>
      </c>
      <c r="W32" s="4">
        <v>0.96</v>
      </c>
      <c r="X32" s="4">
        <v>0.9</v>
      </c>
      <c r="Y32" s="4">
        <v>0.68</v>
      </c>
      <c r="Z32" s="4">
        <v>0.28000000000000003</v>
      </c>
      <c r="AA32" s="3">
        <v>24</v>
      </c>
      <c r="AB32" s="3">
        <v>17</v>
      </c>
      <c r="AC32" s="5">
        <v>4</v>
      </c>
      <c r="AD32" s="4">
        <v>1</v>
      </c>
      <c r="AE32" s="4">
        <v>0.8</v>
      </c>
      <c r="AF32" s="4">
        <v>0.71</v>
      </c>
      <c r="AG32" s="4">
        <v>0.2</v>
      </c>
      <c r="AH32" s="4">
        <v>0.72</v>
      </c>
      <c r="AI32" s="4">
        <v>0</v>
      </c>
      <c r="AJ32" t="s">
        <v>72</v>
      </c>
      <c r="AK32" t="s">
        <v>62</v>
      </c>
      <c r="AL32" t="s">
        <v>62</v>
      </c>
      <c r="AM32" t="s">
        <v>104</v>
      </c>
      <c r="AN32" t="s">
        <v>97</v>
      </c>
      <c r="AO32" t="s">
        <v>65</v>
      </c>
      <c r="AP32" t="s">
        <v>75</v>
      </c>
    </row>
    <row r="33" spans="1:42" x14ac:dyDescent="0.25">
      <c r="A33" t="str">
        <f>HYPERLINK("HTTP://10.0.1.74/krs/128/detail","/krs/128")</f>
        <v>/krs/128</v>
      </c>
      <c r="B33">
        <v>128</v>
      </c>
      <c r="C33" t="s">
        <v>134</v>
      </c>
      <c r="D33" t="s">
        <v>47</v>
      </c>
      <c r="E33" t="s">
        <v>135</v>
      </c>
      <c r="F33" t="s">
        <v>136</v>
      </c>
      <c r="G33" s="1">
        <v>42990</v>
      </c>
      <c r="H33" t="s">
        <v>137</v>
      </c>
      <c r="I33" t="s">
        <v>57</v>
      </c>
      <c r="K33" s="3">
        <v>166</v>
      </c>
      <c r="L33" s="3">
        <v>153</v>
      </c>
      <c r="M33" s="3">
        <v>319</v>
      </c>
      <c r="N33" s="4">
        <v>0.52</v>
      </c>
      <c r="O33" s="3">
        <v>11</v>
      </c>
      <c r="P33" s="3"/>
      <c r="Q33" s="3">
        <v>3</v>
      </c>
      <c r="R33" s="3">
        <v>11</v>
      </c>
      <c r="S33" s="5">
        <v>2.8</v>
      </c>
      <c r="T33" s="5">
        <v>2.8</v>
      </c>
      <c r="U33" s="4">
        <v>0.56000000000000005</v>
      </c>
      <c r="V33" s="4">
        <v>0.52</v>
      </c>
      <c r="W33" s="4">
        <v>0.64</v>
      </c>
      <c r="X33" s="4">
        <v>0.79</v>
      </c>
      <c r="Y33" s="4">
        <v>0.27</v>
      </c>
      <c r="Z33" s="4">
        <v>0.48</v>
      </c>
      <c r="AA33" s="3">
        <v>11</v>
      </c>
      <c r="AB33" s="3">
        <v>4</v>
      </c>
      <c r="AC33" s="5">
        <v>3.3</v>
      </c>
      <c r="AD33" s="4">
        <v>0.73</v>
      </c>
      <c r="AE33" s="4">
        <v>0.66</v>
      </c>
      <c r="AF33" s="4">
        <v>0.36</v>
      </c>
      <c r="AG33" s="4">
        <v>0.34</v>
      </c>
      <c r="AH33" s="4">
        <v>0.56999999999999995</v>
      </c>
      <c r="AI33" s="4">
        <v>0</v>
      </c>
      <c r="AJ33" t="s">
        <v>72</v>
      </c>
      <c r="AK33" t="s">
        <v>86</v>
      </c>
      <c r="AL33" t="s">
        <v>61</v>
      </c>
      <c r="AM33" t="s">
        <v>73</v>
      </c>
      <c r="AN33" t="s">
        <v>97</v>
      </c>
      <c r="AO33" t="s">
        <v>74</v>
      </c>
      <c r="AP33" t="s">
        <v>75</v>
      </c>
    </row>
    <row r="34" spans="1:42" x14ac:dyDescent="0.25">
      <c r="A34" t="str">
        <f>HYPERLINK("HTTP://10.0.1.74/krs/129/detail","/krs/129")</f>
        <v>/krs/129</v>
      </c>
      <c r="B34">
        <v>129</v>
      </c>
      <c r="C34" t="s">
        <v>134</v>
      </c>
      <c r="D34" t="s">
        <v>47</v>
      </c>
      <c r="E34" t="s">
        <v>135</v>
      </c>
      <c r="F34" t="s">
        <v>131</v>
      </c>
      <c r="G34" s="1">
        <v>42990</v>
      </c>
      <c r="H34" t="s">
        <v>137</v>
      </c>
      <c r="I34" t="s">
        <v>57</v>
      </c>
      <c r="K34" s="3">
        <v>128</v>
      </c>
      <c r="L34" s="3">
        <v>80</v>
      </c>
      <c r="M34" s="3">
        <v>208</v>
      </c>
      <c r="N34" s="4">
        <v>0.62</v>
      </c>
      <c r="O34" s="3">
        <v>8</v>
      </c>
      <c r="P34" s="3"/>
      <c r="Q34" s="3">
        <v>3</v>
      </c>
      <c r="R34" s="3">
        <v>8</v>
      </c>
      <c r="S34" s="5">
        <v>3.1</v>
      </c>
      <c r="T34" s="5">
        <v>3</v>
      </c>
      <c r="U34" s="4">
        <v>0.6</v>
      </c>
      <c r="V34" s="4">
        <v>0.62</v>
      </c>
      <c r="W34" s="4">
        <v>0.63</v>
      </c>
      <c r="X34" s="4">
        <v>0.97</v>
      </c>
      <c r="Y34" s="4">
        <v>0.38</v>
      </c>
      <c r="Z34" s="4">
        <v>0.38</v>
      </c>
      <c r="AA34" s="3">
        <v>8</v>
      </c>
      <c r="AB34" s="3">
        <v>2</v>
      </c>
      <c r="AC34" s="5">
        <v>3.2</v>
      </c>
      <c r="AD34" s="4">
        <v>0.75</v>
      </c>
      <c r="AE34" s="4">
        <v>0.64</v>
      </c>
      <c r="AF34" s="4">
        <v>0.25</v>
      </c>
      <c r="AG34" s="4">
        <v>0.36</v>
      </c>
      <c r="AH34" s="4">
        <v>0.57999999999999996</v>
      </c>
      <c r="AI34" s="4">
        <v>0</v>
      </c>
      <c r="AJ34" t="s">
        <v>72</v>
      </c>
      <c r="AK34" t="s">
        <v>61</v>
      </c>
      <c r="AL34" t="s">
        <v>61</v>
      </c>
      <c r="AM34" t="s">
        <v>63</v>
      </c>
      <c r="AN34" t="s">
        <v>64</v>
      </c>
      <c r="AO34" t="s">
        <v>79</v>
      </c>
      <c r="AP34" t="s">
        <v>66</v>
      </c>
    </row>
    <row r="35" spans="1:42" x14ac:dyDescent="0.25">
      <c r="A35" t="str">
        <f>HYPERLINK("HTTP://10.0.1.74/krs/131/detail","/krs/131")</f>
        <v>/krs/131</v>
      </c>
      <c r="B35">
        <v>131</v>
      </c>
      <c r="C35" t="s">
        <v>134</v>
      </c>
      <c r="D35" t="s">
        <v>47</v>
      </c>
      <c r="E35" t="s">
        <v>135</v>
      </c>
      <c r="F35" t="s">
        <v>138</v>
      </c>
      <c r="G35" s="1">
        <v>42989</v>
      </c>
      <c r="H35" t="s">
        <v>137</v>
      </c>
      <c r="I35" t="s">
        <v>57</v>
      </c>
      <c r="K35" s="3">
        <v>162</v>
      </c>
      <c r="L35" s="3">
        <v>157</v>
      </c>
      <c r="M35" s="3">
        <v>319</v>
      </c>
      <c r="N35" s="4">
        <v>0.51</v>
      </c>
      <c r="O35" s="3">
        <v>11</v>
      </c>
      <c r="P35" s="3"/>
      <c r="Q35" s="3">
        <v>1</v>
      </c>
      <c r="R35" s="3">
        <v>11</v>
      </c>
      <c r="S35" s="5">
        <v>2.5</v>
      </c>
      <c r="T35" s="5">
        <v>2.6</v>
      </c>
      <c r="U35" s="4">
        <v>0.53</v>
      </c>
      <c r="V35" s="4">
        <v>0.51</v>
      </c>
      <c r="W35" s="4">
        <v>0.55000000000000004</v>
      </c>
      <c r="X35" s="4">
        <v>0.8</v>
      </c>
      <c r="Y35" s="4">
        <v>0.09</v>
      </c>
      <c r="Z35" s="4">
        <v>0.49</v>
      </c>
      <c r="AA35" s="3">
        <v>11</v>
      </c>
      <c r="AB35" s="3">
        <v>2</v>
      </c>
      <c r="AC35" s="5">
        <v>3.2</v>
      </c>
      <c r="AD35" s="4">
        <v>0.64</v>
      </c>
      <c r="AE35" s="4">
        <v>0.64</v>
      </c>
      <c r="AF35" s="4">
        <v>0.18</v>
      </c>
      <c r="AG35" s="4">
        <v>0.36</v>
      </c>
      <c r="AH35" s="4">
        <v>0.51</v>
      </c>
      <c r="AI35" s="4">
        <v>0</v>
      </c>
      <c r="AJ35" t="s">
        <v>72</v>
      </c>
      <c r="AK35" t="s">
        <v>86</v>
      </c>
      <c r="AL35" t="s">
        <v>61</v>
      </c>
      <c r="AM35" t="s">
        <v>73</v>
      </c>
      <c r="AN35" t="s">
        <v>97</v>
      </c>
      <c r="AO35" t="s">
        <v>74</v>
      </c>
      <c r="AP35" t="s">
        <v>75</v>
      </c>
    </row>
    <row r="36" spans="1:42" x14ac:dyDescent="0.25">
      <c r="A36" t="str">
        <f>HYPERLINK("HTTP://10.0.1.74/krs/132/detail","/krs/132")</f>
        <v>/krs/132</v>
      </c>
      <c r="B36">
        <v>132</v>
      </c>
      <c r="C36" t="s">
        <v>134</v>
      </c>
      <c r="D36" t="s">
        <v>47</v>
      </c>
      <c r="E36" t="s">
        <v>135</v>
      </c>
      <c r="F36" t="s">
        <v>123</v>
      </c>
      <c r="G36" s="1">
        <v>42989</v>
      </c>
      <c r="H36" t="s">
        <v>137</v>
      </c>
      <c r="I36" t="s">
        <v>57</v>
      </c>
      <c r="K36" s="3">
        <v>254</v>
      </c>
      <c r="L36" s="3">
        <v>181</v>
      </c>
      <c r="M36" s="3">
        <v>435</v>
      </c>
      <c r="N36" s="4">
        <v>0.57999999999999996</v>
      </c>
      <c r="O36" s="3">
        <v>15</v>
      </c>
      <c r="P36" s="3"/>
      <c r="Q36" s="3">
        <v>6</v>
      </c>
      <c r="R36" s="3">
        <v>15</v>
      </c>
      <c r="S36" s="5">
        <v>3.1</v>
      </c>
      <c r="T36" s="5">
        <v>3.1</v>
      </c>
      <c r="U36" s="4">
        <v>0.63</v>
      </c>
      <c r="V36" s="4">
        <v>0.57999999999999996</v>
      </c>
      <c r="W36" s="4">
        <v>0.67</v>
      </c>
      <c r="X36" s="4">
        <v>0.73</v>
      </c>
      <c r="Y36" s="4">
        <v>0.4</v>
      </c>
      <c r="Z36" s="4">
        <v>0.42</v>
      </c>
      <c r="AA36" s="3">
        <v>15</v>
      </c>
      <c r="AB36" s="3">
        <v>10</v>
      </c>
      <c r="AC36" s="5">
        <v>4</v>
      </c>
      <c r="AD36" s="4">
        <v>0.73</v>
      </c>
      <c r="AE36" s="4">
        <v>0.8</v>
      </c>
      <c r="AF36" s="4">
        <v>0.67</v>
      </c>
      <c r="AG36" s="4">
        <v>0.2</v>
      </c>
      <c r="AH36" s="4">
        <v>0.6</v>
      </c>
      <c r="AI36" s="4">
        <v>0</v>
      </c>
      <c r="AJ36" t="s">
        <v>72</v>
      </c>
      <c r="AK36" t="s">
        <v>86</v>
      </c>
      <c r="AL36" t="s">
        <v>61</v>
      </c>
      <c r="AM36" t="s">
        <v>73</v>
      </c>
      <c r="AN36" t="s">
        <v>64</v>
      </c>
      <c r="AO36" t="s">
        <v>74</v>
      </c>
      <c r="AP36" t="s">
        <v>75</v>
      </c>
    </row>
    <row r="37" spans="1:42" x14ac:dyDescent="0.25">
      <c r="A37" t="str">
        <f>HYPERLINK("HTTP://10.0.1.74/krs/134/detail","/krs/134")</f>
        <v>/krs/134</v>
      </c>
      <c r="B37">
        <v>134</v>
      </c>
      <c r="C37" t="s">
        <v>134</v>
      </c>
      <c r="D37" t="s">
        <v>47</v>
      </c>
      <c r="E37" t="s">
        <v>135</v>
      </c>
      <c r="F37" t="s">
        <v>99</v>
      </c>
      <c r="G37" s="1">
        <v>42997</v>
      </c>
      <c r="H37" t="s">
        <v>137</v>
      </c>
      <c r="I37" t="s">
        <v>57</v>
      </c>
      <c r="K37" s="3">
        <v>239</v>
      </c>
      <c r="L37" s="3">
        <v>131</v>
      </c>
      <c r="M37" s="3">
        <v>370</v>
      </c>
      <c r="N37" s="4">
        <v>0.65</v>
      </c>
      <c r="O37" s="3">
        <v>10</v>
      </c>
      <c r="P37" s="3"/>
      <c r="Q37" s="3">
        <v>5</v>
      </c>
      <c r="R37" s="3">
        <v>10</v>
      </c>
      <c r="S37" s="5">
        <v>3.2</v>
      </c>
      <c r="T37" s="5">
        <v>3.3</v>
      </c>
      <c r="U37" s="4">
        <v>0.66</v>
      </c>
      <c r="V37" s="4">
        <v>0.65</v>
      </c>
      <c r="W37" s="4">
        <v>0.7</v>
      </c>
      <c r="X37" s="4">
        <v>0.78</v>
      </c>
      <c r="Y37" s="4">
        <v>0.5</v>
      </c>
      <c r="Z37" s="4">
        <v>0.35</v>
      </c>
      <c r="AA37" s="3">
        <v>8</v>
      </c>
      <c r="AB37" s="3">
        <v>5</v>
      </c>
      <c r="AC37" s="5">
        <v>4.0999999999999996</v>
      </c>
      <c r="AD37" s="4">
        <v>0.88</v>
      </c>
      <c r="AE37" s="4">
        <v>0.83</v>
      </c>
      <c r="AF37" s="4">
        <v>0.63</v>
      </c>
      <c r="AG37" s="4">
        <v>0.17</v>
      </c>
      <c r="AH37" s="4">
        <v>0.67</v>
      </c>
      <c r="AI37" s="4">
        <v>0</v>
      </c>
      <c r="AJ37" t="s">
        <v>72</v>
      </c>
      <c r="AK37" t="s">
        <v>61</v>
      </c>
      <c r="AL37" t="s">
        <v>62</v>
      </c>
      <c r="AM37" t="s">
        <v>73</v>
      </c>
      <c r="AN37" t="s">
        <v>64</v>
      </c>
      <c r="AO37" t="s">
        <v>74</v>
      </c>
      <c r="AP37" t="s">
        <v>75</v>
      </c>
    </row>
    <row r="38" spans="1:42" x14ac:dyDescent="0.25">
      <c r="A38" t="str">
        <f>HYPERLINK("HTTP://10.0.1.74/krs/135/detail","/krs/135")</f>
        <v>/krs/135</v>
      </c>
      <c r="B38">
        <v>135</v>
      </c>
      <c r="C38" t="s">
        <v>134</v>
      </c>
      <c r="D38" t="s">
        <v>47</v>
      </c>
      <c r="E38" t="s">
        <v>135</v>
      </c>
      <c r="F38" t="s">
        <v>102</v>
      </c>
      <c r="G38" s="1">
        <v>42991</v>
      </c>
      <c r="H38" t="s">
        <v>137</v>
      </c>
      <c r="I38" t="s">
        <v>57</v>
      </c>
      <c r="K38" s="3">
        <v>124</v>
      </c>
      <c r="L38" s="3">
        <v>61</v>
      </c>
      <c r="M38" s="3">
        <v>185</v>
      </c>
      <c r="N38" s="4">
        <v>0.67</v>
      </c>
      <c r="O38" s="3">
        <v>5</v>
      </c>
      <c r="P38" s="3"/>
      <c r="Q38" s="3">
        <v>2</v>
      </c>
      <c r="R38" s="3">
        <v>5</v>
      </c>
      <c r="S38" s="5">
        <v>3.4</v>
      </c>
      <c r="T38" s="5">
        <v>3.6</v>
      </c>
      <c r="U38" s="4">
        <v>0.72</v>
      </c>
      <c r="V38" s="4">
        <v>0.67</v>
      </c>
      <c r="W38" s="4">
        <v>0.8</v>
      </c>
      <c r="X38" s="4">
        <v>0.93</v>
      </c>
      <c r="Y38" s="4">
        <v>0.4</v>
      </c>
      <c r="Z38" s="4">
        <v>0.33</v>
      </c>
      <c r="AA38" s="3">
        <v>5</v>
      </c>
      <c r="AB38" s="3">
        <v>2</v>
      </c>
      <c r="AC38" s="5">
        <v>3.6</v>
      </c>
      <c r="AD38" s="4">
        <v>1</v>
      </c>
      <c r="AE38" s="4">
        <v>0.72</v>
      </c>
      <c r="AF38" s="4">
        <v>0.4</v>
      </c>
      <c r="AG38" s="4">
        <v>0.28000000000000003</v>
      </c>
      <c r="AH38" s="4">
        <v>0.56999999999999995</v>
      </c>
      <c r="AI38" s="4">
        <v>0</v>
      </c>
      <c r="AJ38" t="s">
        <v>72</v>
      </c>
      <c r="AK38" t="s">
        <v>61</v>
      </c>
      <c r="AL38" t="s">
        <v>62</v>
      </c>
      <c r="AM38" t="s">
        <v>63</v>
      </c>
      <c r="AN38" t="s">
        <v>97</v>
      </c>
      <c r="AO38" t="s">
        <v>65</v>
      </c>
      <c r="AP38" t="s">
        <v>66</v>
      </c>
    </row>
    <row r="39" spans="1:42" x14ac:dyDescent="0.25">
      <c r="A39" t="str">
        <f>HYPERLINK("HTTP://10.0.1.74/krs/138/detail","/krs/138")</f>
        <v>/krs/138</v>
      </c>
      <c r="B39">
        <v>138</v>
      </c>
      <c r="C39" t="s">
        <v>134</v>
      </c>
      <c r="D39" t="s">
        <v>47</v>
      </c>
      <c r="E39" t="s">
        <v>135</v>
      </c>
      <c r="F39" t="s">
        <v>105</v>
      </c>
      <c r="G39" s="1">
        <v>42989</v>
      </c>
      <c r="H39" t="s">
        <v>137</v>
      </c>
      <c r="I39" t="s">
        <v>57</v>
      </c>
      <c r="K39" s="3">
        <v>174</v>
      </c>
      <c r="L39" s="3">
        <v>122</v>
      </c>
      <c r="M39" s="3">
        <v>296</v>
      </c>
      <c r="N39" s="4">
        <v>0.59</v>
      </c>
      <c r="O39" s="3">
        <v>8</v>
      </c>
      <c r="P39" s="3"/>
      <c r="Q39" s="3">
        <v>3</v>
      </c>
      <c r="R39" s="3">
        <v>8</v>
      </c>
      <c r="S39" s="5">
        <v>3.1</v>
      </c>
      <c r="T39" s="5">
        <v>3.1</v>
      </c>
      <c r="U39" s="4">
        <v>0.63</v>
      </c>
      <c r="V39" s="4">
        <v>0.59</v>
      </c>
      <c r="W39" s="4">
        <v>0.63</v>
      </c>
      <c r="X39" s="4">
        <v>0.8</v>
      </c>
      <c r="Y39" s="4">
        <v>0.38</v>
      </c>
      <c r="Z39" s="4">
        <v>0.41</v>
      </c>
      <c r="AA39" s="3">
        <v>8</v>
      </c>
      <c r="AB39" s="3">
        <v>4</v>
      </c>
      <c r="AC39" s="5">
        <v>3.7</v>
      </c>
      <c r="AD39" s="4">
        <v>0.63</v>
      </c>
      <c r="AE39" s="4">
        <v>0.74</v>
      </c>
      <c r="AF39" s="4">
        <v>0.5</v>
      </c>
      <c r="AG39" s="4">
        <v>0.26</v>
      </c>
      <c r="AH39" s="4">
        <v>0.63</v>
      </c>
      <c r="AI39" s="4">
        <v>0</v>
      </c>
      <c r="AJ39" t="s">
        <v>72</v>
      </c>
      <c r="AK39" t="s">
        <v>86</v>
      </c>
      <c r="AL39" t="s">
        <v>61</v>
      </c>
      <c r="AM39" t="s">
        <v>73</v>
      </c>
      <c r="AN39" t="s">
        <v>64</v>
      </c>
      <c r="AO39" t="s">
        <v>74</v>
      </c>
      <c r="AP39" t="s">
        <v>75</v>
      </c>
    </row>
    <row r="40" spans="1:42" x14ac:dyDescent="0.25">
      <c r="A40" t="str">
        <f>HYPERLINK("HTTP://10.0.1.74/krs/141/detail","/krs/141")</f>
        <v>/krs/141</v>
      </c>
      <c r="B40">
        <v>141</v>
      </c>
      <c r="C40" t="s">
        <v>134</v>
      </c>
      <c r="D40" t="s">
        <v>47</v>
      </c>
      <c r="E40" t="s">
        <v>135</v>
      </c>
      <c r="F40" t="s">
        <v>89</v>
      </c>
      <c r="G40" s="1">
        <v>42989</v>
      </c>
      <c r="H40" t="s">
        <v>137</v>
      </c>
      <c r="I40" t="s">
        <v>57</v>
      </c>
      <c r="K40" s="3">
        <v>155</v>
      </c>
      <c r="L40" s="3">
        <v>178</v>
      </c>
      <c r="M40" s="3">
        <v>333</v>
      </c>
      <c r="N40" s="4">
        <v>0.47</v>
      </c>
      <c r="O40" s="3">
        <v>9</v>
      </c>
      <c r="P40" s="3"/>
      <c r="Q40" s="3">
        <v>0</v>
      </c>
      <c r="R40" s="3">
        <v>9</v>
      </c>
      <c r="S40" s="5">
        <v>2.4</v>
      </c>
      <c r="T40" s="5">
        <v>2.4</v>
      </c>
      <c r="U40" s="4">
        <v>0.49</v>
      </c>
      <c r="V40" s="4">
        <v>0.47</v>
      </c>
      <c r="W40" s="4">
        <v>0.44</v>
      </c>
      <c r="X40" s="4">
        <v>0.77</v>
      </c>
      <c r="Y40" s="4">
        <v>0</v>
      </c>
      <c r="Z40" s="4">
        <v>0.53</v>
      </c>
      <c r="AA40" s="3">
        <v>9</v>
      </c>
      <c r="AB40" s="3">
        <v>1</v>
      </c>
      <c r="AC40" s="5">
        <v>3.1</v>
      </c>
      <c r="AD40" s="4">
        <v>0.67</v>
      </c>
      <c r="AE40" s="4">
        <v>0.61</v>
      </c>
      <c r="AF40" s="4">
        <v>0.11</v>
      </c>
      <c r="AG40" s="4">
        <v>0.39</v>
      </c>
      <c r="AH40" s="4">
        <v>0.46</v>
      </c>
      <c r="AI40" s="4">
        <v>0</v>
      </c>
      <c r="AJ40" t="s">
        <v>72</v>
      </c>
      <c r="AK40" t="s">
        <v>86</v>
      </c>
      <c r="AL40" t="s">
        <v>86</v>
      </c>
      <c r="AM40" t="s">
        <v>73</v>
      </c>
      <c r="AN40" t="s">
        <v>64</v>
      </c>
      <c r="AO40" t="s">
        <v>74</v>
      </c>
      <c r="AP40" t="s">
        <v>75</v>
      </c>
    </row>
    <row r="41" spans="1:42" x14ac:dyDescent="0.25">
      <c r="A41" t="str">
        <f>HYPERLINK("HTTP://10.0.1.74/krs/142/detail","/krs/142")</f>
        <v>/krs/142</v>
      </c>
      <c r="B41">
        <v>142</v>
      </c>
      <c r="C41" t="s">
        <v>134</v>
      </c>
      <c r="D41" t="s">
        <v>47</v>
      </c>
      <c r="E41" t="s">
        <v>135</v>
      </c>
      <c r="F41" t="s">
        <v>107</v>
      </c>
      <c r="G41" s="1">
        <v>43000</v>
      </c>
      <c r="H41" t="s">
        <v>137</v>
      </c>
      <c r="I41" t="s">
        <v>57</v>
      </c>
      <c r="K41" s="3">
        <v>183</v>
      </c>
      <c r="L41" s="3">
        <v>150</v>
      </c>
      <c r="M41" s="3">
        <v>333</v>
      </c>
      <c r="N41" s="4">
        <v>0.55000000000000004</v>
      </c>
      <c r="O41" s="3">
        <v>9</v>
      </c>
      <c r="P41" s="3"/>
      <c r="Q41" s="3">
        <v>2</v>
      </c>
      <c r="R41" s="3">
        <v>9</v>
      </c>
      <c r="S41" s="5">
        <v>2.8</v>
      </c>
      <c r="T41" s="5">
        <v>2.8</v>
      </c>
      <c r="U41" s="4">
        <v>0.56000000000000005</v>
      </c>
      <c r="V41" s="4">
        <v>0.55000000000000004</v>
      </c>
      <c r="W41" s="4">
        <v>0.56000000000000005</v>
      </c>
      <c r="X41" s="4">
        <v>0.8</v>
      </c>
      <c r="Y41" s="4">
        <v>0.22</v>
      </c>
      <c r="Z41" s="4">
        <v>0.45</v>
      </c>
      <c r="AA41" s="3">
        <v>9</v>
      </c>
      <c r="AB41" s="3">
        <v>5</v>
      </c>
      <c r="AC41" s="5">
        <v>3.4</v>
      </c>
      <c r="AD41" s="4">
        <v>0.78</v>
      </c>
      <c r="AE41" s="4">
        <v>0.69</v>
      </c>
      <c r="AF41" s="4">
        <v>0.56000000000000005</v>
      </c>
      <c r="AG41" s="4">
        <v>0.31</v>
      </c>
      <c r="AH41" s="4">
        <v>0.6</v>
      </c>
      <c r="AI41" s="4">
        <v>0</v>
      </c>
      <c r="AJ41" t="s">
        <v>72</v>
      </c>
      <c r="AK41" t="s">
        <v>86</v>
      </c>
      <c r="AL41" t="s">
        <v>61</v>
      </c>
      <c r="AM41" t="s">
        <v>73</v>
      </c>
      <c r="AN41" t="s">
        <v>64</v>
      </c>
      <c r="AO41" t="s">
        <v>74</v>
      </c>
      <c r="AP41" t="s">
        <v>75</v>
      </c>
    </row>
    <row r="42" spans="1:42" x14ac:dyDescent="0.25">
      <c r="A42" t="str">
        <f>HYPERLINK("HTTP://10.0.1.74/krs/143/detail","/krs/143")</f>
        <v>/krs/143</v>
      </c>
      <c r="B42">
        <v>143</v>
      </c>
      <c r="C42" t="s">
        <v>134</v>
      </c>
      <c r="D42" t="s">
        <v>47</v>
      </c>
      <c r="E42" t="s">
        <v>135</v>
      </c>
      <c r="F42" t="s">
        <v>115</v>
      </c>
      <c r="G42" s="1">
        <v>42997</v>
      </c>
      <c r="H42" t="s">
        <v>137</v>
      </c>
      <c r="I42" t="s">
        <v>57</v>
      </c>
      <c r="K42" s="3">
        <v>269</v>
      </c>
      <c r="L42" s="3">
        <v>271</v>
      </c>
      <c r="M42" s="3">
        <v>540</v>
      </c>
      <c r="N42" s="4">
        <v>0.5</v>
      </c>
      <c r="O42" s="3">
        <v>12</v>
      </c>
      <c r="P42" s="3"/>
      <c r="Q42" s="3">
        <v>1</v>
      </c>
      <c r="R42" s="3">
        <v>12</v>
      </c>
      <c r="S42" s="5">
        <v>2.6</v>
      </c>
      <c r="T42" s="5">
        <v>2.6</v>
      </c>
      <c r="U42" s="4">
        <v>0.52</v>
      </c>
      <c r="V42" s="4">
        <v>0.5</v>
      </c>
      <c r="W42" s="4">
        <v>0.42</v>
      </c>
      <c r="X42" s="4">
        <v>0.77</v>
      </c>
      <c r="Y42" s="4">
        <v>0.08</v>
      </c>
      <c r="Z42" s="4">
        <v>0.5</v>
      </c>
      <c r="AA42" s="3">
        <v>12</v>
      </c>
      <c r="AB42" s="3">
        <v>5</v>
      </c>
      <c r="AC42" s="5">
        <v>3.3</v>
      </c>
      <c r="AD42" s="4">
        <v>0.5</v>
      </c>
      <c r="AE42" s="4">
        <v>0.65</v>
      </c>
      <c r="AF42" s="4">
        <v>0.42</v>
      </c>
      <c r="AG42" s="4">
        <v>0.35</v>
      </c>
      <c r="AH42" s="4">
        <v>0.49</v>
      </c>
      <c r="AI42" s="4">
        <v>0</v>
      </c>
      <c r="AJ42" t="s">
        <v>72</v>
      </c>
      <c r="AK42" t="s">
        <v>86</v>
      </c>
      <c r="AL42" t="s">
        <v>86</v>
      </c>
      <c r="AM42" t="s">
        <v>73</v>
      </c>
      <c r="AN42" t="s">
        <v>64</v>
      </c>
      <c r="AO42" t="s">
        <v>74</v>
      </c>
      <c r="AP42" t="s">
        <v>75</v>
      </c>
    </row>
    <row r="43" spans="1:42" x14ac:dyDescent="0.25">
      <c r="A43" t="str">
        <f>HYPERLINK("HTTP://10.0.1.74/krs/144/detail","/krs/144")</f>
        <v>/krs/144</v>
      </c>
      <c r="B43">
        <v>144</v>
      </c>
      <c r="C43" t="s">
        <v>134</v>
      </c>
      <c r="D43" t="s">
        <v>47</v>
      </c>
      <c r="E43" t="s">
        <v>135</v>
      </c>
      <c r="F43" t="s">
        <v>139</v>
      </c>
      <c r="G43" s="1">
        <v>42998</v>
      </c>
      <c r="H43" t="s">
        <v>137</v>
      </c>
      <c r="I43" t="s">
        <v>57</v>
      </c>
      <c r="K43" s="3">
        <v>332</v>
      </c>
      <c r="L43" s="3">
        <v>227</v>
      </c>
      <c r="M43" s="3">
        <v>559</v>
      </c>
      <c r="N43" s="4">
        <v>0.59</v>
      </c>
      <c r="O43" s="3">
        <v>13</v>
      </c>
      <c r="P43" s="3"/>
      <c r="Q43" s="3">
        <v>5</v>
      </c>
      <c r="R43" s="3">
        <v>13</v>
      </c>
      <c r="S43" s="5">
        <v>3.1</v>
      </c>
      <c r="T43" s="5">
        <v>3.2</v>
      </c>
      <c r="U43" s="4">
        <v>0.63</v>
      </c>
      <c r="V43" s="4">
        <v>0.59</v>
      </c>
      <c r="W43" s="4">
        <v>0.69</v>
      </c>
      <c r="X43" s="4">
        <v>0.79</v>
      </c>
      <c r="Y43" s="4">
        <v>0.38</v>
      </c>
      <c r="Z43" s="4">
        <v>0.41</v>
      </c>
      <c r="AA43" s="3">
        <v>13</v>
      </c>
      <c r="AB43" s="3">
        <v>9</v>
      </c>
      <c r="AC43" s="5">
        <v>3.7</v>
      </c>
      <c r="AD43" s="4">
        <v>0.77</v>
      </c>
      <c r="AE43" s="4">
        <v>0.75</v>
      </c>
      <c r="AF43" s="4">
        <v>0.69</v>
      </c>
      <c r="AG43" s="4">
        <v>0.25</v>
      </c>
      <c r="AH43" s="4">
        <v>0.57999999999999996</v>
      </c>
      <c r="AI43" s="4">
        <v>0</v>
      </c>
      <c r="AJ43" t="s">
        <v>72</v>
      </c>
      <c r="AK43" t="s">
        <v>86</v>
      </c>
      <c r="AL43" t="s">
        <v>61</v>
      </c>
      <c r="AM43" t="s">
        <v>73</v>
      </c>
      <c r="AN43" t="s">
        <v>64</v>
      </c>
      <c r="AO43" t="s">
        <v>74</v>
      </c>
      <c r="AP43" t="s">
        <v>75</v>
      </c>
    </row>
    <row r="44" spans="1:42" x14ac:dyDescent="0.25">
      <c r="A44" t="str">
        <f>HYPERLINK("HTTP://10.0.1.74/krs/145/detail","/krs/145")</f>
        <v>/krs/145</v>
      </c>
      <c r="B44">
        <v>145</v>
      </c>
      <c r="C44" t="s">
        <v>83</v>
      </c>
      <c r="D44" t="s">
        <v>140</v>
      </c>
      <c r="E44" t="s">
        <v>141</v>
      </c>
      <c r="F44" t="s">
        <v>112</v>
      </c>
      <c r="G44" s="1">
        <v>43094</v>
      </c>
      <c r="H44" t="s">
        <v>142</v>
      </c>
      <c r="I44" t="s">
        <v>57</v>
      </c>
      <c r="K44" s="3">
        <v>948</v>
      </c>
      <c r="L44" s="3">
        <v>1142</v>
      </c>
      <c r="M44" s="3">
        <v>2090</v>
      </c>
      <c r="N44" s="4">
        <v>0.45</v>
      </c>
      <c r="O44" s="3">
        <v>22</v>
      </c>
      <c r="P44" s="3"/>
      <c r="Q44" s="3">
        <v>0</v>
      </c>
      <c r="R44" s="3">
        <v>22</v>
      </c>
      <c r="S44" s="5">
        <v>2.2999999999999998</v>
      </c>
      <c r="T44" s="5">
        <v>2.9</v>
      </c>
      <c r="U44" s="4">
        <v>0.56999999999999995</v>
      </c>
      <c r="V44" s="4">
        <v>0.45</v>
      </c>
      <c r="W44" s="4">
        <v>0.86</v>
      </c>
      <c r="X44" s="4">
        <v>0.55000000000000004</v>
      </c>
      <c r="Y44" s="4">
        <v>0</v>
      </c>
      <c r="Z44" s="4">
        <v>0.55000000000000004</v>
      </c>
      <c r="AA44" s="3">
        <v>22</v>
      </c>
      <c r="AB44" s="3">
        <v>16</v>
      </c>
      <c r="AC44" s="5">
        <v>4.0999999999999996</v>
      </c>
      <c r="AD44" s="4">
        <v>1</v>
      </c>
      <c r="AE44" s="4">
        <v>0.82</v>
      </c>
      <c r="AF44" s="4">
        <v>0.73</v>
      </c>
      <c r="AG44" s="4">
        <v>0.18</v>
      </c>
      <c r="AH44" s="4">
        <v>0.38</v>
      </c>
      <c r="AI44" s="4">
        <v>0.76</v>
      </c>
      <c r="AJ44" t="s">
        <v>60</v>
      </c>
      <c r="AK44" t="s">
        <v>86</v>
      </c>
      <c r="AL44" t="s">
        <v>62</v>
      </c>
      <c r="AM44" t="s">
        <v>73</v>
      </c>
      <c r="AN44" t="s">
        <v>64</v>
      </c>
      <c r="AO44" t="s">
        <v>74</v>
      </c>
      <c r="AP44" t="s">
        <v>75</v>
      </c>
    </row>
    <row r="45" spans="1:42" x14ac:dyDescent="0.25">
      <c r="A45" t="str">
        <f>HYPERLINK("HTTP://10.0.1.74/krs/147/detail","/krs/147")</f>
        <v>/krs/147</v>
      </c>
      <c r="B45">
        <v>147</v>
      </c>
      <c r="C45" t="s">
        <v>53</v>
      </c>
      <c r="D45" t="s">
        <v>47</v>
      </c>
      <c r="E45" t="s">
        <v>143</v>
      </c>
      <c r="F45" t="s">
        <v>123</v>
      </c>
      <c r="G45" s="1">
        <v>42990</v>
      </c>
      <c r="H45" t="s">
        <v>144</v>
      </c>
      <c r="I45" t="s">
        <v>51</v>
      </c>
      <c r="J45" t="s">
        <v>145</v>
      </c>
      <c r="K45" s="3">
        <v>395</v>
      </c>
      <c r="L45" s="3">
        <v>155</v>
      </c>
      <c r="M45" s="3">
        <v>550</v>
      </c>
      <c r="N45" s="4">
        <v>0.72</v>
      </c>
      <c r="O45" s="3">
        <v>25</v>
      </c>
      <c r="P45" s="3"/>
      <c r="Q45" s="3">
        <v>17</v>
      </c>
      <c r="R45" s="3">
        <v>25</v>
      </c>
      <c r="S45" s="5">
        <v>3.9</v>
      </c>
      <c r="T45" s="5">
        <v>3.8</v>
      </c>
      <c r="U45" s="4">
        <v>0.77</v>
      </c>
      <c r="V45" s="4">
        <v>0.72</v>
      </c>
      <c r="W45" s="4">
        <v>1</v>
      </c>
      <c r="X45" s="4">
        <v>0.89</v>
      </c>
      <c r="Y45" s="4">
        <v>0.68</v>
      </c>
      <c r="Z45" s="4">
        <v>0.28000000000000003</v>
      </c>
      <c r="AA45" s="3">
        <v>25</v>
      </c>
      <c r="AB45" s="3">
        <v>16</v>
      </c>
      <c r="AC45" s="5">
        <v>4.0999999999999996</v>
      </c>
      <c r="AD45" s="4">
        <v>1</v>
      </c>
      <c r="AE45" s="4">
        <v>0.81</v>
      </c>
      <c r="AF45" s="4">
        <v>0.64</v>
      </c>
      <c r="AG45" s="4">
        <v>0.19</v>
      </c>
      <c r="AH45" s="4">
        <v>0.7</v>
      </c>
      <c r="AI45" s="4">
        <v>0</v>
      </c>
      <c r="AJ45" t="s">
        <v>72</v>
      </c>
      <c r="AK45" t="s">
        <v>62</v>
      </c>
      <c r="AL45" t="s">
        <v>62</v>
      </c>
      <c r="AM45" t="s">
        <v>104</v>
      </c>
      <c r="AN45" t="s">
        <v>97</v>
      </c>
      <c r="AO45" t="s">
        <v>65</v>
      </c>
      <c r="AP45" t="s">
        <v>75</v>
      </c>
    </row>
    <row r="46" spans="1:42" x14ac:dyDescent="0.25">
      <c r="A46" t="str">
        <f>HYPERLINK("HTTP://10.0.1.74/krs/148/detail","/krs/148")</f>
        <v>/krs/148</v>
      </c>
      <c r="B46">
        <v>148</v>
      </c>
      <c r="C46" t="s">
        <v>53</v>
      </c>
      <c r="D46" t="s">
        <v>47</v>
      </c>
      <c r="E46" t="s">
        <v>98</v>
      </c>
      <c r="F46" t="s">
        <v>55</v>
      </c>
      <c r="G46" s="1">
        <v>42992</v>
      </c>
      <c r="H46" t="s">
        <v>146</v>
      </c>
      <c r="I46" t="s">
        <v>51</v>
      </c>
      <c r="K46" s="3">
        <v>254</v>
      </c>
      <c r="L46" s="3">
        <v>66</v>
      </c>
      <c r="M46" s="3">
        <v>320</v>
      </c>
      <c r="N46" s="4">
        <v>0.79</v>
      </c>
      <c r="O46" s="3">
        <v>16</v>
      </c>
      <c r="P46" s="3"/>
      <c r="Q46" s="3">
        <v>0</v>
      </c>
      <c r="R46" s="3">
        <v>16</v>
      </c>
      <c r="S46" s="5">
        <v>4.3</v>
      </c>
      <c r="T46" s="5">
        <v>1</v>
      </c>
      <c r="U46" s="4">
        <v>0.2</v>
      </c>
      <c r="V46" s="4">
        <v>0.79</v>
      </c>
      <c r="W46" s="4">
        <v>0</v>
      </c>
      <c r="X46" s="4">
        <v>0</v>
      </c>
      <c r="Y46" s="4">
        <v>0</v>
      </c>
      <c r="Z46" s="4">
        <v>0.21</v>
      </c>
      <c r="AA46" s="3">
        <v>0</v>
      </c>
      <c r="AB46" s="3">
        <v>0</v>
      </c>
      <c r="AC46" s="5">
        <v>0</v>
      </c>
      <c r="AD46" s="4">
        <v>0</v>
      </c>
      <c r="AE46" s="4">
        <v>0</v>
      </c>
      <c r="AF46" s="4">
        <v>0</v>
      </c>
      <c r="AG46" s="4">
        <v>1</v>
      </c>
      <c r="AH46" s="4">
        <v>0.81</v>
      </c>
      <c r="AI46" s="4">
        <v>0</v>
      </c>
      <c r="AJ46" t="s">
        <v>60</v>
      </c>
      <c r="AK46" t="s">
        <v>62</v>
      </c>
      <c r="AL46" t="s">
        <v>86</v>
      </c>
      <c r="AM46" t="s">
        <v>63</v>
      </c>
      <c r="AN46" t="s">
        <v>97</v>
      </c>
      <c r="AO46" t="s">
        <v>79</v>
      </c>
      <c r="AP46" t="s">
        <v>75</v>
      </c>
    </row>
    <row r="47" spans="1:42" x14ac:dyDescent="0.25">
      <c r="A47" t="str">
        <f>HYPERLINK("HTTP://10.0.1.74/krs/149/detail","/krs/149")</f>
        <v>/krs/149</v>
      </c>
      <c r="B47">
        <v>149</v>
      </c>
      <c r="C47" t="s">
        <v>46</v>
      </c>
      <c r="D47" t="s">
        <v>47</v>
      </c>
      <c r="E47" t="s">
        <v>54</v>
      </c>
      <c r="F47" t="s">
        <v>147</v>
      </c>
      <c r="G47" s="1">
        <v>42986</v>
      </c>
      <c r="H47" t="s">
        <v>128</v>
      </c>
      <c r="I47" t="s">
        <v>51</v>
      </c>
      <c r="J47" t="s">
        <v>148</v>
      </c>
      <c r="K47" s="3">
        <v>869</v>
      </c>
      <c r="L47" s="3">
        <v>111</v>
      </c>
      <c r="M47" s="3">
        <v>980</v>
      </c>
      <c r="N47" s="4">
        <v>0.89</v>
      </c>
      <c r="O47" s="3">
        <v>28</v>
      </c>
      <c r="P47" s="3"/>
      <c r="Q47" s="3">
        <v>27</v>
      </c>
      <c r="R47" s="3">
        <v>28</v>
      </c>
      <c r="S47" s="5">
        <v>4.5</v>
      </c>
      <c r="T47" s="5">
        <v>4.3</v>
      </c>
      <c r="U47" s="4">
        <v>0.86</v>
      </c>
      <c r="V47" s="4">
        <v>0.89</v>
      </c>
      <c r="W47" s="4">
        <v>1</v>
      </c>
      <c r="X47" s="4">
        <v>1</v>
      </c>
      <c r="Y47" s="4">
        <v>0.96</v>
      </c>
      <c r="Z47" s="4">
        <v>0.11</v>
      </c>
      <c r="AA47" s="3">
        <v>28</v>
      </c>
      <c r="AB47" s="3">
        <v>27</v>
      </c>
      <c r="AC47" s="5">
        <v>4.4000000000000004</v>
      </c>
      <c r="AD47" s="4">
        <v>1</v>
      </c>
      <c r="AE47" s="4">
        <v>0.89</v>
      </c>
      <c r="AF47" s="4">
        <v>0.96</v>
      </c>
      <c r="AG47" s="4">
        <v>0.11</v>
      </c>
      <c r="AH47" s="4">
        <v>0.92</v>
      </c>
      <c r="AI47" s="4">
        <v>0</v>
      </c>
      <c r="AJ47" t="s">
        <v>72</v>
      </c>
      <c r="AK47" t="s">
        <v>62</v>
      </c>
      <c r="AL47" t="s">
        <v>62</v>
      </c>
      <c r="AM47" t="s">
        <v>63</v>
      </c>
      <c r="AN47" t="s">
        <v>97</v>
      </c>
      <c r="AO47" t="s">
        <v>79</v>
      </c>
      <c r="AP47" t="s">
        <v>66</v>
      </c>
    </row>
    <row r="48" spans="1:42" x14ac:dyDescent="0.25">
      <c r="A48" t="str">
        <f>HYPERLINK("HTTP://10.0.1.74/krs/150/detail","/krs/150")</f>
        <v>/krs/150</v>
      </c>
      <c r="B48">
        <v>150</v>
      </c>
      <c r="C48" t="s">
        <v>53</v>
      </c>
      <c r="D48" t="s">
        <v>47</v>
      </c>
      <c r="E48" t="s">
        <v>143</v>
      </c>
      <c r="F48" t="s">
        <v>149</v>
      </c>
      <c r="G48" s="1">
        <v>42984</v>
      </c>
      <c r="H48" t="s">
        <v>144</v>
      </c>
      <c r="I48" t="s">
        <v>51</v>
      </c>
      <c r="J48" t="s">
        <v>150</v>
      </c>
      <c r="K48" s="3">
        <v>217</v>
      </c>
      <c r="L48" s="3">
        <v>179</v>
      </c>
      <c r="M48" s="3">
        <v>396</v>
      </c>
      <c r="N48" s="4">
        <v>0.55000000000000004</v>
      </c>
      <c r="O48" s="3">
        <v>22</v>
      </c>
      <c r="P48" s="3"/>
      <c r="Q48" s="3">
        <v>10</v>
      </c>
      <c r="R48" s="3">
        <v>22</v>
      </c>
      <c r="S48" s="5">
        <v>3.2</v>
      </c>
      <c r="T48" s="5">
        <v>3.5</v>
      </c>
      <c r="U48" s="4">
        <v>0.69</v>
      </c>
      <c r="V48" s="4">
        <v>0.55000000000000004</v>
      </c>
      <c r="W48" s="4">
        <v>0.82</v>
      </c>
      <c r="X48" s="4">
        <v>0.72</v>
      </c>
      <c r="Y48" s="4">
        <v>0.45</v>
      </c>
      <c r="Z48" s="4">
        <v>0.45</v>
      </c>
      <c r="AA48" s="3">
        <v>22</v>
      </c>
      <c r="AB48" s="3">
        <v>13</v>
      </c>
      <c r="AC48" s="5">
        <v>3.8</v>
      </c>
      <c r="AD48" s="4">
        <v>1</v>
      </c>
      <c r="AE48" s="4">
        <v>0.76</v>
      </c>
      <c r="AF48" s="4">
        <v>0.59</v>
      </c>
      <c r="AG48" s="4">
        <v>0.24</v>
      </c>
      <c r="AH48" s="4">
        <v>0.55000000000000004</v>
      </c>
      <c r="AI48" s="4">
        <v>0</v>
      </c>
      <c r="AJ48" t="s">
        <v>60</v>
      </c>
      <c r="AK48" t="s">
        <v>86</v>
      </c>
      <c r="AL48" t="s">
        <v>62</v>
      </c>
      <c r="AM48" t="s">
        <v>73</v>
      </c>
      <c r="AN48" t="s">
        <v>64</v>
      </c>
      <c r="AO48" t="s">
        <v>74</v>
      </c>
      <c r="AP48" t="s">
        <v>75</v>
      </c>
    </row>
    <row r="49" spans="1:42" x14ac:dyDescent="0.25">
      <c r="A49" t="str">
        <f>HYPERLINK("HTTP://10.0.1.74/krs/151/detail","/krs/151")</f>
        <v>/krs/151</v>
      </c>
      <c r="B49">
        <v>151</v>
      </c>
      <c r="C49" t="s">
        <v>53</v>
      </c>
      <c r="D49" t="s">
        <v>47</v>
      </c>
      <c r="E49" t="s">
        <v>143</v>
      </c>
      <c r="F49" t="s">
        <v>90</v>
      </c>
      <c r="G49" s="1">
        <v>42985</v>
      </c>
      <c r="H49" t="s">
        <v>144</v>
      </c>
      <c r="I49" t="s">
        <v>51</v>
      </c>
      <c r="J49" t="s">
        <v>151</v>
      </c>
      <c r="K49" s="3">
        <v>261</v>
      </c>
      <c r="L49" s="3">
        <v>243</v>
      </c>
      <c r="M49" s="3">
        <v>504</v>
      </c>
      <c r="N49" s="4">
        <v>0.52</v>
      </c>
      <c r="O49" s="3">
        <v>28</v>
      </c>
      <c r="P49" s="3"/>
      <c r="Q49" s="3">
        <v>10</v>
      </c>
      <c r="R49" s="3">
        <v>28</v>
      </c>
      <c r="S49" s="5">
        <v>3.1</v>
      </c>
      <c r="T49" s="5">
        <v>3.1</v>
      </c>
      <c r="U49" s="4">
        <v>0.63</v>
      </c>
      <c r="V49" s="4">
        <v>0.52</v>
      </c>
      <c r="W49" s="4">
        <v>0.71</v>
      </c>
      <c r="X49" s="4">
        <v>0.73</v>
      </c>
      <c r="Y49" s="4">
        <v>0.36</v>
      </c>
      <c r="Z49" s="4">
        <v>0.48</v>
      </c>
      <c r="AA49" s="3">
        <v>28</v>
      </c>
      <c r="AB49" s="3">
        <v>10</v>
      </c>
      <c r="AC49" s="5">
        <v>3.6</v>
      </c>
      <c r="AD49" s="4">
        <v>1</v>
      </c>
      <c r="AE49" s="4">
        <v>0.71</v>
      </c>
      <c r="AF49" s="4">
        <v>0.36</v>
      </c>
      <c r="AG49" s="4">
        <v>0.28999999999999998</v>
      </c>
      <c r="AH49" s="4">
        <v>0.41</v>
      </c>
      <c r="AI49" s="4">
        <v>0</v>
      </c>
      <c r="AJ49" t="s">
        <v>60</v>
      </c>
      <c r="AK49" t="s">
        <v>86</v>
      </c>
      <c r="AL49" t="s">
        <v>62</v>
      </c>
      <c r="AM49" t="s">
        <v>73</v>
      </c>
      <c r="AN49" t="s">
        <v>97</v>
      </c>
      <c r="AO49" t="s">
        <v>74</v>
      </c>
      <c r="AP49" t="s">
        <v>75</v>
      </c>
    </row>
    <row r="50" spans="1:42" x14ac:dyDescent="0.25">
      <c r="A50" t="str">
        <f>HYPERLINK("HTTP://10.0.1.74/krs/152/detail","/krs/152")</f>
        <v>/krs/152</v>
      </c>
      <c r="B50">
        <v>152</v>
      </c>
      <c r="C50" t="s">
        <v>46</v>
      </c>
      <c r="D50" t="s">
        <v>47</v>
      </c>
      <c r="E50" t="s">
        <v>141</v>
      </c>
      <c r="F50" t="s">
        <v>55</v>
      </c>
      <c r="G50" s="1">
        <v>42990</v>
      </c>
      <c r="H50" t="s">
        <v>142</v>
      </c>
      <c r="I50" t="s">
        <v>57</v>
      </c>
      <c r="K50" s="3">
        <v>353</v>
      </c>
      <c r="L50" s="3">
        <v>81</v>
      </c>
      <c r="M50" s="3">
        <v>434</v>
      </c>
      <c r="N50" s="4">
        <v>0.81</v>
      </c>
      <c r="O50" s="3">
        <v>14</v>
      </c>
      <c r="P50" s="3"/>
      <c r="Q50" s="3">
        <v>10</v>
      </c>
      <c r="R50" s="3">
        <v>14</v>
      </c>
      <c r="S50" s="5">
        <v>4.2</v>
      </c>
      <c r="T50" s="5">
        <v>3.8</v>
      </c>
      <c r="U50" s="4">
        <v>0.76</v>
      </c>
      <c r="V50" s="4">
        <v>0.81</v>
      </c>
      <c r="W50" s="4">
        <v>1</v>
      </c>
      <c r="X50" s="4">
        <v>1.05</v>
      </c>
      <c r="Y50" s="4">
        <v>0.71</v>
      </c>
      <c r="Z50" s="4">
        <v>0.19</v>
      </c>
      <c r="AA50" s="3">
        <v>14</v>
      </c>
      <c r="AB50" s="3">
        <v>9</v>
      </c>
      <c r="AC50" s="5">
        <v>3.9</v>
      </c>
      <c r="AD50" s="4">
        <v>1</v>
      </c>
      <c r="AE50" s="4">
        <v>0.77</v>
      </c>
      <c r="AF50" s="4">
        <v>0.64</v>
      </c>
      <c r="AG50" s="4">
        <v>0.23</v>
      </c>
      <c r="AH50" s="4">
        <v>0.81</v>
      </c>
      <c r="AI50" s="4">
        <v>0.98</v>
      </c>
      <c r="AJ50" t="s">
        <v>72</v>
      </c>
      <c r="AK50" t="s">
        <v>62</v>
      </c>
      <c r="AL50" t="s">
        <v>62</v>
      </c>
      <c r="AM50" t="s">
        <v>63</v>
      </c>
      <c r="AN50" t="s">
        <v>97</v>
      </c>
      <c r="AO50" t="s">
        <v>79</v>
      </c>
      <c r="AP50" t="s">
        <v>66</v>
      </c>
    </row>
    <row r="51" spans="1:42" x14ac:dyDescent="0.25">
      <c r="A51" t="str">
        <f>HYPERLINK("HTTP://10.0.1.74/krs/153/detail","/krs/153")</f>
        <v>/krs/153</v>
      </c>
      <c r="B51">
        <v>153</v>
      </c>
      <c r="C51" t="s">
        <v>46</v>
      </c>
      <c r="D51" t="s">
        <v>47</v>
      </c>
      <c r="E51" t="s">
        <v>141</v>
      </c>
      <c r="F51" t="s">
        <v>116</v>
      </c>
      <c r="G51" s="1">
        <v>42989</v>
      </c>
      <c r="H51" t="s">
        <v>142</v>
      </c>
      <c r="I51" t="s">
        <v>57</v>
      </c>
      <c r="K51" s="3">
        <v>437</v>
      </c>
      <c r="L51" s="3">
        <v>90</v>
      </c>
      <c r="M51" s="3">
        <v>527</v>
      </c>
      <c r="N51" s="4">
        <v>0.83</v>
      </c>
      <c r="O51" s="3">
        <v>17</v>
      </c>
      <c r="P51" s="3"/>
      <c r="Q51" s="3">
        <v>13</v>
      </c>
      <c r="R51" s="3">
        <v>17</v>
      </c>
      <c r="S51" s="5">
        <v>4.2</v>
      </c>
      <c r="T51" s="5">
        <v>4</v>
      </c>
      <c r="U51" s="4">
        <v>0.8</v>
      </c>
      <c r="V51" s="4">
        <v>0.83</v>
      </c>
      <c r="W51" s="4">
        <v>1</v>
      </c>
      <c r="X51" s="4">
        <v>1.01</v>
      </c>
      <c r="Y51" s="4">
        <v>0.76</v>
      </c>
      <c r="Z51" s="4">
        <v>0.17</v>
      </c>
      <c r="AA51" s="3">
        <v>17</v>
      </c>
      <c r="AB51" s="3">
        <v>11</v>
      </c>
      <c r="AC51" s="5">
        <v>4.0999999999999996</v>
      </c>
      <c r="AD51" s="4">
        <v>1</v>
      </c>
      <c r="AE51" s="4">
        <v>0.82</v>
      </c>
      <c r="AF51" s="4">
        <v>0.65</v>
      </c>
      <c r="AG51" s="4">
        <v>0.18</v>
      </c>
      <c r="AH51" s="4">
        <v>0.84</v>
      </c>
      <c r="AI51" s="4">
        <v>0</v>
      </c>
      <c r="AJ51" t="s">
        <v>72</v>
      </c>
      <c r="AK51" t="s">
        <v>62</v>
      </c>
      <c r="AL51" t="s">
        <v>62</v>
      </c>
      <c r="AM51" t="s">
        <v>63</v>
      </c>
      <c r="AN51" t="s">
        <v>64</v>
      </c>
      <c r="AO51" t="s">
        <v>79</v>
      </c>
      <c r="AP51" t="s">
        <v>66</v>
      </c>
    </row>
    <row r="52" spans="1:42" x14ac:dyDescent="0.25">
      <c r="A52" t="str">
        <f>HYPERLINK("HTTP://10.0.1.74/krs/154/detail","/krs/154")</f>
        <v>/krs/154</v>
      </c>
      <c r="B52">
        <v>154</v>
      </c>
      <c r="C52" t="s">
        <v>53</v>
      </c>
      <c r="D52" t="s">
        <v>47</v>
      </c>
      <c r="E52" t="s">
        <v>143</v>
      </c>
      <c r="F52" t="s">
        <v>69</v>
      </c>
      <c r="G52" s="1">
        <v>42984</v>
      </c>
      <c r="H52" t="s">
        <v>144</v>
      </c>
      <c r="I52" t="s">
        <v>51</v>
      </c>
      <c r="J52" t="s">
        <v>150</v>
      </c>
      <c r="K52" s="3">
        <v>258</v>
      </c>
      <c r="L52" s="3">
        <v>174</v>
      </c>
      <c r="M52" s="3">
        <v>432</v>
      </c>
      <c r="N52" s="4">
        <v>0.6</v>
      </c>
      <c r="O52" s="3">
        <v>24</v>
      </c>
      <c r="P52" s="3"/>
      <c r="Q52" s="3">
        <v>13</v>
      </c>
      <c r="R52" s="3">
        <v>24</v>
      </c>
      <c r="S52" s="5">
        <v>3.4</v>
      </c>
      <c r="T52" s="5">
        <v>3.6</v>
      </c>
      <c r="U52" s="4">
        <v>0.72</v>
      </c>
      <c r="V52" s="4">
        <v>0.6</v>
      </c>
      <c r="W52" s="4">
        <v>0.75</v>
      </c>
      <c r="X52" s="4">
        <v>0.76</v>
      </c>
      <c r="Y52" s="4">
        <v>0.54</v>
      </c>
      <c r="Z52" s="4">
        <v>0.4</v>
      </c>
      <c r="AA52" s="3">
        <v>24</v>
      </c>
      <c r="AB52" s="3">
        <v>14</v>
      </c>
      <c r="AC52" s="5">
        <v>3.9</v>
      </c>
      <c r="AD52" s="4">
        <v>1</v>
      </c>
      <c r="AE52" s="4">
        <v>0.79</v>
      </c>
      <c r="AF52" s="4">
        <v>0.57999999999999996</v>
      </c>
      <c r="AG52" s="4">
        <v>0.21</v>
      </c>
      <c r="AH52" s="4">
        <v>0.56000000000000005</v>
      </c>
      <c r="AI52" s="4">
        <v>0</v>
      </c>
      <c r="AJ52" t="s">
        <v>60</v>
      </c>
      <c r="AK52" t="s">
        <v>61</v>
      </c>
      <c r="AL52" t="s">
        <v>62</v>
      </c>
      <c r="AM52" t="s">
        <v>73</v>
      </c>
      <c r="AN52" t="s">
        <v>97</v>
      </c>
      <c r="AO52" t="s">
        <v>74</v>
      </c>
      <c r="AP52" t="s">
        <v>75</v>
      </c>
    </row>
    <row r="53" spans="1:42" x14ac:dyDescent="0.25">
      <c r="A53" t="str">
        <f>HYPERLINK("HTTP://10.0.1.74/krs/155/detail","/krs/155")</f>
        <v>/krs/155</v>
      </c>
      <c r="B53">
        <v>155</v>
      </c>
      <c r="C53" t="s">
        <v>53</v>
      </c>
      <c r="D53" t="s">
        <v>47</v>
      </c>
      <c r="E53" t="s">
        <v>125</v>
      </c>
      <c r="F53" t="s">
        <v>139</v>
      </c>
      <c r="G53" s="1">
        <v>42992</v>
      </c>
      <c r="H53" t="s">
        <v>127</v>
      </c>
      <c r="I53" t="s">
        <v>51</v>
      </c>
      <c r="K53" s="3"/>
      <c r="L53" s="3"/>
      <c r="M53" s="3"/>
      <c r="N53" s="4"/>
      <c r="O53" s="3">
        <v>18</v>
      </c>
      <c r="P53" s="3"/>
      <c r="Q53" s="3">
        <v>6</v>
      </c>
      <c r="R53" s="3">
        <v>16</v>
      </c>
      <c r="S53" s="5"/>
      <c r="T53" s="5">
        <v>3.1</v>
      </c>
      <c r="U53" s="4">
        <v>0.69</v>
      </c>
      <c r="V53" s="4"/>
      <c r="W53" s="4">
        <v>0.69</v>
      </c>
      <c r="X53" s="4">
        <v>0</v>
      </c>
      <c r="Y53" s="4">
        <v>0.38</v>
      </c>
      <c r="Z53" s="4"/>
      <c r="AA53" s="3">
        <v>0</v>
      </c>
      <c r="AB53" s="3">
        <v>0</v>
      </c>
      <c r="AC53" s="5">
        <v>0</v>
      </c>
      <c r="AD53" s="4">
        <v>0</v>
      </c>
      <c r="AE53" s="4">
        <v>0</v>
      </c>
      <c r="AF53" s="4">
        <v>0</v>
      </c>
      <c r="AG53" s="4">
        <v>1</v>
      </c>
      <c r="AH53" s="4"/>
      <c r="AI53" s="4">
        <v>0</v>
      </c>
      <c r="AJ53" t="s">
        <v>60</v>
      </c>
      <c r="AK53" t="s">
        <v>61</v>
      </c>
      <c r="AL53" t="s">
        <v>61</v>
      </c>
      <c r="AM53" t="s">
        <v>104</v>
      </c>
      <c r="AN53" t="s">
        <v>64</v>
      </c>
      <c r="AO53" t="s">
        <v>65</v>
      </c>
      <c r="AP53" t="s">
        <v>75</v>
      </c>
    </row>
    <row r="54" spans="1:42" x14ac:dyDescent="0.25">
      <c r="A54" t="str">
        <f>HYPERLINK("HTTP://10.0.1.74/krs/156/detail","/krs/156")</f>
        <v>/krs/156</v>
      </c>
      <c r="B54">
        <v>156</v>
      </c>
      <c r="C54" t="s">
        <v>53</v>
      </c>
      <c r="D54" t="s">
        <v>47</v>
      </c>
      <c r="E54" t="s">
        <v>87</v>
      </c>
      <c r="F54" t="s">
        <v>139</v>
      </c>
      <c r="G54" s="1">
        <v>42989</v>
      </c>
      <c r="H54" t="s">
        <v>127</v>
      </c>
      <c r="I54" t="s">
        <v>51</v>
      </c>
      <c r="K54" s="3">
        <v>229</v>
      </c>
      <c r="L54" s="3">
        <v>151</v>
      </c>
      <c r="M54" s="3">
        <v>380</v>
      </c>
      <c r="N54" s="4">
        <v>0.6</v>
      </c>
      <c r="O54" s="3">
        <v>19</v>
      </c>
      <c r="P54" s="3"/>
      <c r="Q54" s="3">
        <v>8</v>
      </c>
      <c r="R54" s="3">
        <v>19</v>
      </c>
      <c r="S54" s="5">
        <v>3.4</v>
      </c>
      <c r="T54" s="5">
        <v>3.4</v>
      </c>
      <c r="U54" s="4">
        <v>0.67</v>
      </c>
      <c r="V54" s="4">
        <v>0.6</v>
      </c>
      <c r="W54" s="4">
        <v>0.89</v>
      </c>
      <c r="X54" s="4">
        <v>0</v>
      </c>
      <c r="Y54" s="4">
        <v>0.42</v>
      </c>
      <c r="Z54" s="4">
        <v>0.4</v>
      </c>
      <c r="AA54" s="3">
        <v>0</v>
      </c>
      <c r="AB54" s="3">
        <v>0</v>
      </c>
      <c r="AC54" s="5">
        <v>0</v>
      </c>
      <c r="AD54" s="4">
        <v>0</v>
      </c>
      <c r="AE54" s="4">
        <v>0</v>
      </c>
      <c r="AF54" s="4">
        <v>0</v>
      </c>
      <c r="AG54" s="4">
        <v>1</v>
      </c>
      <c r="AH54" s="4">
        <v>0.62</v>
      </c>
      <c r="AI54" s="4">
        <v>0</v>
      </c>
      <c r="AJ54" t="s">
        <v>72</v>
      </c>
      <c r="AK54" t="s">
        <v>61</v>
      </c>
      <c r="AL54" t="s">
        <v>62</v>
      </c>
      <c r="AM54" t="s">
        <v>63</v>
      </c>
      <c r="AN54" t="s">
        <v>64</v>
      </c>
      <c r="AO54" t="s">
        <v>79</v>
      </c>
      <c r="AP54" t="s">
        <v>75</v>
      </c>
    </row>
    <row r="55" spans="1:42" x14ac:dyDescent="0.25">
      <c r="A55" t="str">
        <f>HYPERLINK("HTTP://10.0.1.74/krs/157/detail","/krs/157")</f>
        <v>/krs/157</v>
      </c>
      <c r="B55">
        <v>157</v>
      </c>
      <c r="C55" t="s">
        <v>53</v>
      </c>
      <c r="D55" t="s">
        <v>47</v>
      </c>
      <c r="E55" t="s">
        <v>143</v>
      </c>
      <c r="F55" t="s">
        <v>130</v>
      </c>
      <c r="G55" s="1">
        <v>42985</v>
      </c>
      <c r="H55" t="s">
        <v>144</v>
      </c>
      <c r="I55" t="s">
        <v>51</v>
      </c>
      <c r="J55" t="s">
        <v>151</v>
      </c>
      <c r="K55" s="3">
        <v>170</v>
      </c>
      <c r="L55" s="3">
        <v>221</v>
      </c>
      <c r="M55" s="3">
        <v>391</v>
      </c>
      <c r="N55" s="4">
        <v>0.43</v>
      </c>
      <c r="O55" s="3">
        <v>23</v>
      </c>
      <c r="P55" s="3"/>
      <c r="Q55" s="3">
        <v>3</v>
      </c>
      <c r="R55" s="3">
        <v>23</v>
      </c>
      <c r="S55" s="5">
        <v>2.7</v>
      </c>
      <c r="T55" s="5">
        <v>2.7</v>
      </c>
      <c r="U55" s="4">
        <v>0.54</v>
      </c>
      <c r="V55" s="4">
        <v>0.43</v>
      </c>
      <c r="W55" s="4">
        <v>0.56999999999999995</v>
      </c>
      <c r="X55" s="4">
        <v>0.61</v>
      </c>
      <c r="Y55" s="4">
        <v>0.13</v>
      </c>
      <c r="Z55" s="4">
        <v>0.56999999999999995</v>
      </c>
      <c r="AA55" s="3">
        <v>23</v>
      </c>
      <c r="AB55" s="3">
        <v>6</v>
      </c>
      <c r="AC55" s="5">
        <v>3.5</v>
      </c>
      <c r="AD55" s="4">
        <v>1</v>
      </c>
      <c r="AE55" s="4">
        <v>0.7</v>
      </c>
      <c r="AF55" s="4">
        <v>0.26</v>
      </c>
      <c r="AG55" s="4">
        <v>0.3</v>
      </c>
      <c r="AH55" s="4">
        <v>0.37</v>
      </c>
      <c r="AI55" s="4">
        <v>0</v>
      </c>
      <c r="AJ55" t="s">
        <v>60</v>
      </c>
      <c r="AK55" t="s">
        <v>86</v>
      </c>
      <c r="AL55" t="s">
        <v>61</v>
      </c>
      <c r="AM55" t="s">
        <v>73</v>
      </c>
      <c r="AN55" t="s">
        <v>64</v>
      </c>
      <c r="AO55" t="s">
        <v>74</v>
      </c>
      <c r="AP55" t="s">
        <v>75</v>
      </c>
    </row>
    <row r="56" spans="1:42" x14ac:dyDescent="0.25">
      <c r="A56" t="str">
        <f>HYPERLINK("HTTP://10.0.1.74/krs/158/detail","/krs/158")</f>
        <v>/krs/158</v>
      </c>
      <c r="B56">
        <v>158</v>
      </c>
      <c r="C56" t="s">
        <v>53</v>
      </c>
      <c r="D56" t="s">
        <v>47</v>
      </c>
      <c r="E56" t="s">
        <v>125</v>
      </c>
      <c r="F56" t="s">
        <v>108</v>
      </c>
      <c r="G56" s="1">
        <v>42991</v>
      </c>
      <c r="H56" t="s">
        <v>127</v>
      </c>
      <c r="I56" t="s">
        <v>51</v>
      </c>
      <c r="K56" s="3">
        <v>290</v>
      </c>
      <c r="L56" s="3">
        <v>116</v>
      </c>
      <c r="M56" s="3">
        <v>406</v>
      </c>
      <c r="N56" s="4">
        <v>0.71</v>
      </c>
      <c r="O56" s="3">
        <v>14</v>
      </c>
      <c r="P56" s="3"/>
      <c r="Q56" s="3">
        <v>8</v>
      </c>
      <c r="R56" s="3">
        <v>14</v>
      </c>
      <c r="S56" s="5">
        <v>3.9</v>
      </c>
      <c r="T56" s="5">
        <v>3.8</v>
      </c>
      <c r="U56" s="4">
        <v>0.76</v>
      </c>
      <c r="V56" s="4">
        <v>0.71</v>
      </c>
      <c r="W56" s="4">
        <v>1</v>
      </c>
      <c r="X56" s="4">
        <v>0</v>
      </c>
      <c r="Y56" s="4">
        <v>0.56999999999999995</v>
      </c>
      <c r="Z56" s="4">
        <v>0.28999999999999998</v>
      </c>
      <c r="AA56" s="3">
        <v>0</v>
      </c>
      <c r="AB56" s="3">
        <v>0</v>
      </c>
      <c r="AC56" s="5">
        <v>0</v>
      </c>
      <c r="AD56" s="4">
        <v>0</v>
      </c>
      <c r="AE56" s="4">
        <v>0</v>
      </c>
      <c r="AF56" s="4">
        <v>0</v>
      </c>
      <c r="AG56" s="4">
        <v>1</v>
      </c>
      <c r="AH56" s="4">
        <v>0.75</v>
      </c>
      <c r="AI56" s="4">
        <v>0.63</v>
      </c>
      <c r="AJ56" t="s">
        <v>72</v>
      </c>
      <c r="AK56" t="s">
        <v>62</v>
      </c>
      <c r="AL56" t="s">
        <v>62</v>
      </c>
      <c r="AM56" t="s">
        <v>63</v>
      </c>
      <c r="AN56" t="s">
        <v>64</v>
      </c>
      <c r="AO56" t="s">
        <v>79</v>
      </c>
      <c r="AP56" t="s">
        <v>75</v>
      </c>
    </row>
    <row r="57" spans="1:42" x14ac:dyDescent="0.25">
      <c r="A57" t="str">
        <f>HYPERLINK("HTTP://10.0.1.74/krs/159/detail","/krs/159")</f>
        <v>/krs/159</v>
      </c>
      <c r="B57">
        <v>159</v>
      </c>
      <c r="C57" t="s">
        <v>53</v>
      </c>
      <c r="D57" t="s">
        <v>47</v>
      </c>
      <c r="E57" t="s">
        <v>87</v>
      </c>
      <c r="F57" t="s">
        <v>123</v>
      </c>
      <c r="G57" s="1">
        <v>42984</v>
      </c>
      <c r="H57" t="s">
        <v>144</v>
      </c>
      <c r="I57" t="s">
        <v>51</v>
      </c>
      <c r="J57" t="s">
        <v>151</v>
      </c>
      <c r="K57" s="3">
        <v>190</v>
      </c>
      <c r="L57" s="3">
        <v>110</v>
      </c>
      <c r="M57" s="3">
        <v>300</v>
      </c>
      <c r="N57" s="4">
        <v>0.63</v>
      </c>
      <c r="O57" s="3">
        <v>25</v>
      </c>
      <c r="P57" s="3"/>
      <c r="Q57" s="3">
        <v>10</v>
      </c>
      <c r="R57" s="3">
        <v>25</v>
      </c>
      <c r="S57" s="5">
        <v>3.5</v>
      </c>
      <c r="T57" s="5">
        <v>3.4</v>
      </c>
      <c r="U57" s="4">
        <v>0.69</v>
      </c>
      <c r="V57" s="4">
        <v>0.63</v>
      </c>
      <c r="W57" s="4">
        <v>1</v>
      </c>
      <c r="X57" s="4">
        <v>0.78</v>
      </c>
      <c r="Y57" s="4">
        <v>0.4</v>
      </c>
      <c r="Z57" s="4">
        <v>0.37</v>
      </c>
      <c r="AA57" s="3">
        <v>25</v>
      </c>
      <c r="AB57" s="3">
        <v>18</v>
      </c>
      <c r="AC57" s="5">
        <v>4.0999999999999996</v>
      </c>
      <c r="AD57" s="4">
        <v>1</v>
      </c>
      <c r="AE57" s="4">
        <v>0.81</v>
      </c>
      <c r="AF57" s="4">
        <v>0.72</v>
      </c>
      <c r="AG57" s="4">
        <v>0.19</v>
      </c>
      <c r="AH57" s="4">
        <v>0.62</v>
      </c>
      <c r="AI57" s="4">
        <v>0</v>
      </c>
      <c r="AJ57" t="s">
        <v>72</v>
      </c>
      <c r="AK57" t="s">
        <v>61</v>
      </c>
      <c r="AL57" t="s">
        <v>62</v>
      </c>
      <c r="AM57" t="s">
        <v>73</v>
      </c>
      <c r="AN57" t="s">
        <v>64</v>
      </c>
      <c r="AO57" t="s">
        <v>74</v>
      </c>
      <c r="AP57" t="s">
        <v>75</v>
      </c>
    </row>
    <row r="58" spans="1:42" x14ac:dyDescent="0.25">
      <c r="A58" t="str">
        <f>HYPERLINK("HTTP://10.0.1.74/krs/160/detail","/krs/160")</f>
        <v>/krs/160</v>
      </c>
      <c r="B58">
        <v>160</v>
      </c>
      <c r="C58" t="s">
        <v>46</v>
      </c>
      <c r="D58" t="s">
        <v>47</v>
      </c>
      <c r="E58" t="s">
        <v>54</v>
      </c>
      <c r="F58" t="s">
        <v>149</v>
      </c>
      <c r="G58" s="1">
        <v>42985</v>
      </c>
      <c r="H58" t="s">
        <v>152</v>
      </c>
      <c r="I58" t="s">
        <v>51</v>
      </c>
      <c r="J58" t="s">
        <v>153</v>
      </c>
      <c r="K58" s="3">
        <v>265</v>
      </c>
      <c r="L58" s="3">
        <v>126</v>
      </c>
      <c r="M58" s="3">
        <v>391</v>
      </c>
      <c r="N58" s="4">
        <v>0.68</v>
      </c>
      <c r="O58" s="3">
        <v>23</v>
      </c>
      <c r="P58" s="3"/>
      <c r="Q58" s="3">
        <v>16</v>
      </c>
      <c r="R58" s="3">
        <v>23</v>
      </c>
      <c r="S58" s="5">
        <v>3.7</v>
      </c>
      <c r="T58" s="5">
        <v>3.7</v>
      </c>
      <c r="U58" s="4">
        <v>0.73</v>
      </c>
      <c r="V58" s="4">
        <v>0.68</v>
      </c>
      <c r="W58" s="4">
        <v>0.96</v>
      </c>
      <c r="X58" s="4">
        <v>0</v>
      </c>
      <c r="Y58" s="4">
        <v>0.7</v>
      </c>
      <c r="Z58" s="4">
        <v>0.32</v>
      </c>
      <c r="AA58" s="3">
        <v>0</v>
      </c>
      <c r="AB58" s="3">
        <v>0</v>
      </c>
      <c r="AC58" s="5">
        <v>0</v>
      </c>
      <c r="AD58" s="4">
        <v>0</v>
      </c>
      <c r="AE58" s="4">
        <v>0</v>
      </c>
      <c r="AF58" s="4">
        <v>0</v>
      </c>
      <c r="AG58" s="4">
        <v>1</v>
      </c>
      <c r="AH58" s="4">
        <v>0.68</v>
      </c>
      <c r="AI58" s="4">
        <v>0.74</v>
      </c>
      <c r="AJ58" t="s">
        <v>72</v>
      </c>
      <c r="AK58" t="s">
        <v>61</v>
      </c>
      <c r="AL58" t="s">
        <v>62</v>
      </c>
      <c r="AM58" t="s">
        <v>63</v>
      </c>
      <c r="AN58" t="s">
        <v>64</v>
      </c>
      <c r="AO58" t="s">
        <v>79</v>
      </c>
      <c r="AP58" t="s">
        <v>75</v>
      </c>
    </row>
    <row r="59" spans="1:42" x14ac:dyDescent="0.25">
      <c r="A59" t="str">
        <f>HYPERLINK("HTTP://10.0.1.74/krs/161/detail","/krs/161")</f>
        <v>/krs/161</v>
      </c>
      <c r="B59">
        <v>161</v>
      </c>
      <c r="C59" t="s">
        <v>46</v>
      </c>
      <c r="D59" t="s">
        <v>47</v>
      </c>
      <c r="E59" t="s">
        <v>54</v>
      </c>
      <c r="F59" t="s">
        <v>105</v>
      </c>
      <c r="G59" s="1">
        <v>42984</v>
      </c>
      <c r="H59" t="s">
        <v>152</v>
      </c>
      <c r="I59" t="s">
        <v>51</v>
      </c>
      <c r="J59" t="s">
        <v>153</v>
      </c>
      <c r="K59" s="3">
        <v>418</v>
      </c>
      <c r="L59" s="3">
        <v>191</v>
      </c>
      <c r="M59" s="3">
        <v>609</v>
      </c>
      <c r="N59" s="4">
        <v>0.69</v>
      </c>
      <c r="O59" s="3">
        <v>21</v>
      </c>
      <c r="P59" s="3"/>
      <c r="Q59" s="3">
        <v>17</v>
      </c>
      <c r="R59" s="3">
        <v>21</v>
      </c>
      <c r="S59" s="5">
        <v>3.7</v>
      </c>
      <c r="T59" s="5">
        <v>3.8</v>
      </c>
      <c r="U59" s="4">
        <v>0.75</v>
      </c>
      <c r="V59" s="4">
        <v>0.69</v>
      </c>
      <c r="W59" s="4">
        <v>0.95</v>
      </c>
      <c r="X59" s="4">
        <v>0</v>
      </c>
      <c r="Y59" s="4">
        <v>0.81</v>
      </c>
      <c r="Z59" s="4">
        <v>0.31</v>
      </c>
      <c r="AA59" s="3">
        <v>0</v>
      </c>
      <c r="AB59" s="3">
        <v>0</v>
      </c>
      <c r="AC59" s="5">
        <v>0</v>
      </c>
      <c r="AD59" s="4">
        <v>0</v>
      </c>
      <c r="AE59" s="4">
        <v>0</v>
      </c>
      <c r="AF59" s="4">
        <v>0</v>
      </c>
      <c r="AG59" s="4">
        <v>1</v>
      </c>
      <c r="AH59" s="4">
        <v>0.69</v>
      </c>
      <c r="AI59" s="4">
        <v>0</v>
      </c>
      <c r="AJ59" t="s">
        <v>72</v>
      </c>
      <c r="AK59" t="s">
        <v>61</v>
      </c>
      <c r="AL59" t="s">
        <v>62</v>
      </c>
      <c r="AM59" t="s">
        <v>63</v>
      </c>
      <c r="AN59" t="s">
        <v>64</v>
      </c>
      <c r="AO59" t="s">
        <v>79</v>
      </c>
      <c r="AP59" t="s">
        <v>75</v>
      </c>
    </row>
    <row r="60" spans="1:42" x14ac:dyDescent="0.25">
      <c r="A60" t="str">
        <f>HYPERLINK("HTTP://10.0.1.74/krs/162/detail","/krs/162")</f>
        <v>/krs/162</v>
      </c>
      <c r="B60">
        <v>162</v>
      </c>
      <c r="C60" t="s">
        <v>53</v>
      </c>
      <c r="D60" t="s">
        <v>47</v>
      </c>
      <c r="E60" t="s">
        <v>143</v>
      </c>
      <c r="F60" t="s">
        <v>99</v>
      </c>
      <c r="G60" s="1">
        <v>42986</v>
      </c>
      <c r="H60" t="s">
        <v>144</v>
      </c>
      <c r="I60" t="s">
        <v>51</v>
      </c>
      <c r="J60" t="s">
        <v>154</v>
      </c>
      <c r="K60" s="3">
        <v>341</v>
      </c>
      <c r="L60" s="3">
        <v>163</v>
      </c>
      <c r="M60" s="3">
        <v>504</v>
      </c>
      <c r="N60" s="4">
        <v>0.68</v>
      </c>
      <c r="O60" s="3">
        <v>24</v>
      </c>
      <c r="P60" s="3"/>
      <c r="Q60" s="3">
        <v>15</v>
      </c>
      <c r="R60" s="3">
        <v>24</v>
      </c>
      <c r="S60" s="5">
        <v>3.7</v>
      </c>
      <c r="T60" s="5">
        <v>3.6</v>
      </c>
      <c r="U60" s="4">
        <v>0.72</v>
      </c>
      <c r="V60" s="4">
        <v>0.68</v>
      </c>
      <c r="W60" s="4">
        <v>0.96</v>
      </c>
      <c r="X60" s="4">
        <v>0.85</v>
      </c>
      <c r="Y60" s="4">
        <v>0.63</v>
      </c>
      <c r="Z60" s="4">
        <v>0.32</v>
      </c>
      <c r="AA60" s="3">
        <v>24</v>
      </c>
      <c r="AB60" s="3">
        <v>15</v>
      </c>
      <c r="AC60" s="5">
        <v>4</v>
      </c>
      <c r="AD60" s="4">
        <v>1</v>
      </c>
      <c r="AE60" s="4">
        <v>0.8</v>
      </c>
      <c r="AF60" s="4">
        <v>0.63</v>
      </c>
      <c r="AG60" s="4">
        <v>0.2</v>
      </c>
      <c r="AH60" s="4">
        <v>0.74</v>
      </c>
      <c r="AI60" s="4">
        <v>0</v>
      </c>
      <c r="AJ60" t="s">
        <v>72</v>
      </c>
      <c r="AK60" t="s">
        <v>61</v>
      </c>
      <c r="AL60" t="s">
        <v>62</v>
      </c>
      <c r="AM60" t="s">
        <v>73</v>
      </c>
      <c r="AN60" t="s">
        <v>97</v>
      </c>
      <c r="AO60" t="s">
        <v>74</v>
      </c>
      <c r="AP60" t="s">
        <v>75</v>
      </c>
    </row>
    <row r="61" spans="1:42" x14ac:dyDescent="0.25">
      <c r="A61" t="str">
        <f>HYPERLINK("HTTP://10.0.1.74/krs/163/detail","/krs/163")</f>
        <v>/krs/163</v>
      </c>
      <c r="B61">
        <v>163</v>
      </c>
      <c r="C61" t="s">
        <v>155</v>
      </c>
      <c r="D61" t="s">
        <v>47</v>
      </c>
      <c r="E61" t="s">
        <v>143</v>
      </c>
      <c r="F61" t="s">
        <v>102</v>
      </c>
      <c r="G61" s="1">
        <v>42986</v>
      </c>
      <c r="H61" t="s">
        <v>144</v>
      </c>
      <c r="I61" t="s">
        <v>51</v>
      </c>
      <c r="J61" t="s">
        <v>156</v>
      </c>
      <c r="K61" s="3">
        <v>293</v>
      </c>
      <c r="L61" s="3">
        <v>64</v>
      </c>
      <c r="M61" s="3">
        <v>357</v>
      </c>
      <c r="N61" s="4">
        <v>0.82</v>
      </c>
      <c r="O61" s="3">
        <v>17</v>
      </c>
      <c r="P61" s="3"/>
      <c r="Q61" s="3">
        <v>13</v>
      </c>
      <c r="R61" s="3">
        <v>17</v>
      </c>
      <c r="S61" s="5">
        <v>4.3</v>
      </c>
      <c r="T61" s="5">
        <v>4.0999999999999996</v>
      </c>
      <c r="U61" s="4">
        <v>0.82</v>
      </c>
      <c r="V61" s="4">
        <v>0.82</v>
      </c>
      <c r="W61" s="4">
        <v>0.88</v>
      </c>
      <c r="X61" s="4">
        <v>1.01</v>
      </c>
      <c r="Y61" s="4">
        <v>0.76</v>
      </c>
      <c r="Z61" s="4">
        <v>0.18</v>
      </c>
      <c r="AA61" s="3">
        <v>17</v>
      </c>
      <c r="AB61" s="3">
        <v>13</v>
      </c>
      <c r="AC61" s="5">
        <v>4</v>
      </c>
      <c r="AD61" s="4">
        <v>1</v>
      </c>
      <c r="AE61" s="4">
        <v>0.81</v>
      </c>
      <c r="AF61" s="4">
        <v>0.76</v>
      </c>
      <c r="AG61" s="4">
        <v>0.19</v>
      </c>
      <c r="AH61" s="4">
        <v>0.87</v>
      </c>
      <c r="AI61" s="4">
        <v>0</v>
      </c>
      <c r="AJ61" t="s">
        <v>72</v>
      </c>
      <c r="AK61" t="s">
        <v>62</v>
      </c>
      <c r="AL61" t="s">
        <v>62</v>
      </c>
      <c r="AM61" t="s">
        <v>63</v>
      </c>
      <c r="AN61" t="s">
        <v>97</v>
      </c>
      <c r="AO61" t="s">
        <v>79</v>
      </c>
      <c r="AP61" t="s">
        <v>66</v>
      </c>
    </row>
    <row r="62" spans="1:42" x14ac:dyDescent="0.25">
      <c r="A62" t="str">
        <f>HYPERLINK("HTTP://10.0.1.74/krs/164/detail","/krs/164")</f>
        <v>/krs/164</v>
      </c>
      <c r="B62">
        <v>164</v>
      </c>
      <c r="C62" t="s">
        <v>46</v>
      </c>
      <c r="D62" t="s">
        <v>81</v>
      </c>
      <c r="E62" t="s">
        <v>157</v>
      </c>
      <c r="F62" t="s">
        <v>149</v>
      </c>
      <c r="G62" s="1">
        <v>42994</v>
      </c>
      <c r="H62" t="s">
        <v>158</v>
      </c>
      <c r="I62" t="s">
        <v>51</v>
      </c>
      <c r="J62" t="s">
        <v>159</v>
      </c>
      <c r="K62" s="3">
        <v>234</v>
      </c>
      <c r="L62" s="3">
        <v>126</v>
      </c>
      <c r="M62" s="3">
        <v>360</v>
      </c>
      <c r="N62" s="4">
        <v>0.65</v>
      </c>
      <c r="O62" s="3">
        <v>10</v>
      </c>
      <c r="P62" s="3"/>
      <c r="Q62" s="3">
        <v>5</v>
      </c>
      <c r="R62" s="3">
        <v>10</v>
      </c>
      <c r="S62" s="5">
        <v>3.6</v>
      </c>
      <c r="T62" s="5">
        <v>3.4</v>
      </c>
      <c r="U62" s="4">
        <v>0.68</v>
      </c>
      <c r="V62" s="4">
        <v>0.65</v>
      </c>
      <c r="W62" s="4">
        <v>0.9</v>
      </c>
      <c r="X62" s="4">
        <v>0</v>
      </c>
      <c r="Y62" s="4">
        <v>0.5</v>
      </c>
      <c r="Z62" s="4">
        <v>0.35</v>
      </c>
      <c r="AA62" s="3">
        <v>10</v>
      </c>
      <c r="AB62" s="3">
        <v>9</v>
      </c>
      <c r="AC62" s="5">
        <v>3.9</v>
      </c>
      <c r="AD62" s="4">
        <v>1</v>
      </c>
      <c r="AE62" s="4">
        <v>0.78</v>
      </c>
      <c r="AF62" s="4">
        <v>0.9</v>
      </c>
      <c r="AG62" s="4">
        <v>0.22</v>
      </c>
      <c r="AH62" s="4">
        <v>0.65</v>
      </c>
      <c r="AI62" s="4">
        <v>0</v>
      </c>
      <c r="AJ62" t="s">
        <v>72</v>
      </c>
      <c r="AK62" t="s">
        <v>61</v>
      </c>
      <c r="AL62" t="s">
        <v>62</v>
      </c>
      <c r="AM62" t="s">
        <v>63</v>
      </c>
      <c r="AN62" t="s">
        <v>64</v>
      </c>
      <c r="AO62" t="s">
        <v>79</v>
      </c>
      <c r="AP62" t="s">
        <v>75</v>
      </c>
    </row>
    <row r="63" spans="1:42" x14ac:dyDescent="0.25">
      <c r="A63" t="str">
        <f>HYPERLINK("HTTP://10.0.1.74/krs/166/detail","/krs/166")</f>
        <v>/krs/166</v>
      </c>
      <c r="B63">
        <v>166</v>
      </c>
      <c r="C63" t="s">
        <v>53</v>
      </c>
      <c r="D63" t="s">
        <v>81</v>
      </c>
      <c r="E63" t="s">
        <v>160</v>
      </c>
      <c r="F63" t="s">
        <v>76</v>
      </c>
      <c r="G63" s="1">
        <v>43005</v>
      </c>
      <c r="H63" t="s">
        <v>56</v>
      </c>
      <c r="I63" t="s">
        <v>57</v>
      </c>
      <c r="J63" t="s">
        <v>161</v>
      </c>
      <c r="K63" s="3">
        <v>419</v>
      </c>
      <c r="L63" s="3">
        <v>175</v>
      </c>
      <c r="M63" s="3">
        <v>594</v>
      </c>
      <c r="N63" s="4">
        <v>0.71</v>
      </c>
      <c r="O63" s="3">
        <v>22</v>
      </c>
      <c r="P63" s="3"/>
      <c r="Q63" s="3">
        <v>9</v>
      </c>
      <c r="R63" s="3">
        <v>22</v>
      </c>
      <c r="S63" s="5">
        <v>3.3</v>
      </c>
      <c r="T63" s="5">
        <v>3.4</v>
      </c>
      <c r="U63" s="4">
        <v>0.68</v>
      </c>
      <c r="V63" s="4">
        <v>0.71</v>
      </c>
      <c r="W63" s="4">
        <v>0.95</v>
      </c>
      <c r="X63" s="4">
        <v>1</v>
      </c>
      <c r="Y63" s="4">
        <v>0.41</v>
      </c>
      <c r="Z63" s="4">
        <v>0.28999999999999998</v>
      </c>
      <c r="AA63" s="3">
        <v>22</v>
      </c>
      <c r="AB63" s="3">
        <v>8</v>
      </c>
      <c r="AC63" s="5">
        <v>3.6</v>
      </c>
      <c r="AD63" s="4">
        <v>0.86</v>
      </c>
      <c r="AE63" s="4">
        <v>0.71</v>
      </c>
      <c r="AF63" s="4">
        <v>0.36</v>
      </c>
      <c r="AG63" s="4">
        <v>0.28999999999999998</v>
      </c>
      <c r="AH63" s="4">
        <v>0.85</v>
      </c>
      <c r="AI63" s="4">
        <v>0.72</v>
      </c>
      <c r="AJ63" t="s">
        <v>72</v>
      </c>
      <c r="AK63" t="s">
        <v>62</v>
      </c>
      <c r="AL63" t="s">
        <v>62</v>
      </c>
      <c r="AM63" t="s">
        <v>63</v>
      </c>
      <c r="AN63" t="s">
        <v>97</v>
      </c>
      <c r="AO63" t="s">
        <v>79</v>
      </c>
      <c r="AP63" t="s">
        <v>66</v>
      </c>
    </row>
    <row r="64" spans="1:42" x14ac:dyDescent="0.25">
      <c r="A64" t="str">
        <f>HYPERLINK("HTTP://10.0.1.74/krs/167/detail","/krs/167")</f>
        <v>/krs/167</v>
      </c>
      <c r="B64">
        <v>167</v>
      </c>
      <c r="C64" t="s">
        <v>46</v>
      </c>
      <c r="D64" t="s">
        <v>47</v>
      </c>
      <c r="E64" t="s">
        <v>54</v>
      </c>
      <c r="F64" t="s">
        <v>162</v>
      </c>
      <c r="G64" s="1">
        <v>42982</v>
      </c>
      <c r="H64" t="s">
        <v>128</v>
      </c>
      <c r="I64" t="s">
        <v>51</v>
      </c>
      <c r="J64" t="s">
        <v>163</v>
      </c>
      <c r="K64" s="3"/>
      <c r="L64" s="3"/>
      <c r="M64" s="3"/>
      <c r="N64" s="4"/>
      <c r="O64" s="3"/>
      <c r="P64" s="3"/>
      <c r="Q64" s="3"/>
      <c r="R64" s="3"/>
      <c r="S64" s="5"/>
      <c r="T64" s="5"/>
      <c r="U64" s="4"/>
      <c r="V64" s="4"/>
      <c r="W64" s="4"/>
      <c r="X64" s="4"/>
      <c r="Y64" s="4"/>
      <c r="Z64" s="4"/>
      <c r="AA64" s="3"/>
      <c r="AB64" s="3"/>
      <c r="AC64" s="5"/>
      <c r="AD64" s="4"/>
      <c r="AE64" s="4"/>
      <c r="AF64" s="4"/>
      <c r="AG64" s="4"/>
      <c r="AH64" s="4"/>
      <c r="AI64" s="4"/>
      <c r="AJ64" t="s">
        <v>52</v>
      </c>
      <c r="AK64" t="s">
        <v>52</v>
      </c>
      <c r="AL64" t="s">
        <v>52</v>
      </c>
      <c r="AM64" t="s">
        <v>52</v>
      </c>
      <c r="AN64" t="s">
        <v>52</v>
      </c>
      <c r="AO64" t="s">
        <v>52</v>
      </c>
      <c r="AP64" t="s">
        <v>52</v>
      </c>
    </row>
    <row r="65" spans="1:42" x14ac:dyDescent="0.25">
      <c r="A65" t="str">
        <f>HYPERLINK("HTTP://10.0.1.74/krs/168/detail","/krs/168")</f>
        <v>/krs/168</v>
      </c>
      <c r="B65">
        <v>168</v>
      </c>
      <c r="C65" t="s">
        <v>46</v>
      </c>
      <c r="D65" t="s">
        <v>47</v>
      </c>
      <c r="E65" t="s">
        <v>54</v>
      </c>
      <c r="F65" t="s">
        <v>164</v>
      </c>
      <c r="G65" s="1">
        <v>42982</v>
      </c>
      <c r="H65" t="s">
        <v>128</v>
      </c>
      <c r="I65" t="s">
        <v>51</v>
      </c>
      <c r="J65" t="s">
        <v>165</v>
      </c>
      <c r="K65" s="3">
        <v>412</v>
      </c>
      <c r="L65" s="3">
        <v>113</v>
      </c>
      <c r="M65" s="3">
        <v>525</v>
      </c>
      <c r="N65" s="4">
        <v>0.78</v>
      </c>
      <c r="O65" s="3">
        <v>25</v>
      </c>
      <c r="P65" s="3"/>
      <c r="Q65" s="3">
        <v>23</v>
      </c>
      <c r="R65" s="3">
        <v>25</v>
      </c>
      <c r="S65" s="5">
        <v>4.0999999999999996</v>
      </c>
      <c r="T65" s="5">
        <v>4.0999999999999996</v>
      </c>
      <c r="U65" s="4">
        <v>0.82</v>
      </c>
      <c r="V65" s="4">
        <v>0.78</v>
      </c>
      <c r="W65" s="4">
        <v>1</v>
      </c>
      <c r="X65" s="4">
        <v>0.95</v>
      </c>
      <c r="Y65" s="4">
        <v>0.92</v>
      </c>
      <c r="Z65" s="4">
        <v>0.22</v>
      </c>
      <c r="AA65" s="3">
        <v>25</v>
      </c>
      <c r="AB65" s="3">
        <v>22</v>
      </c>
      <c r="AC65" s="5">
        <v>4.0999999999999996</v>
      </c>
      <c r="AD65" s="4">
        <v>1</v>
      </c>
      <c r="AE65" s="4">
        <v>0.82</v>
      </c>
      <c r="AF65" s="4">
        <v>0.88</v>
      </c>
      <c r="AG65" s="4">
        <v>0.18</v>
      </c>
      <c r="AH65" s="4">
        <v>0.78</v>
      </c>
      <c r="AI65" s="4">
        <v>0</v>
      </c>
      <c r="AJ65" t="s">
        <v>72</v>
      </c>
      <c r="AK65" t="s">
        <v>62</v>
      </c>
      <c r="AL65" t="s">
        <v>62</v>
      </c>
      <c r="AM65" t="s">
        <v>63</v>
      </c>
      <c r="AN65" t="s">
        <v>97</v>
      </c>
      <c r="AO65" t="s">
        <v>79</v>
      </c>
      <c r="AP65" t="s">
        <v>66</v>
      </c>
    </row>
    <row r="66" spans="1:42" x14ac:dyDescent="0.25">
      <c r="A66" t="str">
        <f>HYPERLINK("HTTP://10.0.1.74/krs/169/detail","/krs/169")</f>
        <v>/krs/169</v>
      </c>
      <c r="B66">
        <v>169</v>
      </c>
      <c r="C66" t="s">
        <v>53</v>
      </c>
      <c r="D66" t="s">
        <v>47</v>
      </c>
      <c r="E66" t="s">
        <v>98</v>
      </c>
      <c r="F66" t="s">
        <v>99</v>
      </c>
      <c r="G66" s="1">
        <v>42985</v>
      </c>
      <c r="H66" t="s">
        <v>146</v>
      </c>
      <c r="I66" t="s">
        <v>51</v>
      </c>
      <c r="K66" s="3"/>
      <c r="L66" s="3"/>
      <c r="M66" s="3"/>
      <c r="N66" s="4"/>
      <c r="O66" s="3"/>
      <c r="P66" s="3"/>
      <c r="Q66" s="3"/>
      <c r="R66" s="3"/>
      <c r="S66" s="5"/>
      <c r="T66" s="5"/>
      <c r="U66" s="4"/>
      <c r="V66" s="4"/>
      <c r="W66" s="4"/>
      <c r="X66" s="4"/>
      <c r="Y66" s="4"/>
      <c r="Z66" s="4"/>
      <c r="AA66" s="3"/>
      <c r="AB66" s="3"/>
      <c r="AC66" s="5"/>
      <c r="AD66" s="4"/>
      <c r="AE66" s="4"/>
      <c r="AF66" s="4"/>
      <c r="AG66" s="4"/>
      <c r="AH66" s="4"/>
      <c r="AI66" s="4"/>
      <c r="AJ66" t="s">
        <v>52</v>
      </c>
      <c r="AK66" t="s">
        <v>52</v>
      </c>
      <c r="AL66" t="s">
        <v>52</v>
      </c>
      <c r="AM66" t="s">
        <v>52</v>
      </c>
      <c r="AN66" t="s">
        <v>52</v>
      </c>
      <c r="AO66" t="s">
        <v>52</v>
      </c>
      <c r="AP66" t="s">
        <v>52</v>
      </c>
    </row>
    <row r="67" spans="1:42" x14ac:dyDescent="0.25">
      <c r="A67" t="str">
        <f>HYPERLINK("HTTP://10.0.1.74/krs/170/detail","/krs/170")</f>
        <v>/krs/170</v>
      </c>
      <c r="B67">
        <v>170</v>
      </c>
      <c r="C67" t="s">
        <v>46</v>
      </c>
      <c r="D67" t="s">
        <v>47</v>
      </c>
      <c r="E67" t="s">
        <v>160</v>
      </c>
      <c r="F67" t="s">
        <v>166</v>
      </c>
      <c r="G67" s="1">
        <v>42986</v>
      </c>
      <c r="H67" t="s">
        <v>121</v>
      </c>
      <c r="I67" t="s">
        <v>51</v>
      </c>
      <c r="J67" t="s">
        <v>124</v>
      </c>
      <c r="K67" s="3">
        <v>546</v>
      </c>
      <c r="L67" s="3">
        <v>84</v>
      </c>
      <c r="M67" s="3">
        <v>630</v>
      </c>
      <c r="N67" s="4">
        <v>0.87</v>
      </c>
      <c r="O67" s="3">
        <v>42</v>
      </c>
      <c r="P67" s="3"/>
      <c r="Q67" s="3">
        <v>41</v>
      </c>
      <c r="R67" s="3">
        <v>42</v>
      </c>
      <c r="S67" s="5">
        <v>4.5</v>
      </c>
      <c r="T67" s="5">
        <v>4.4000000000000004</v>
      </c>
      <c r="U67" s="4">
        <v>0.89</v>
      </c>
      <c r="V67" s="4">
        <v>0.87</v>
      </c>
      <c r="W67" s="4">
        <v>1</v>
      </c>
      <c r="X67" s="4">
        <v>1</v>
      </c>
      <c r="Y67" s="4">
        <v>0.98</v>
      </c>
      <c r="Z67" s="4">
        <v>0.13</v>
      </c>
      <c r="AA67" s="3">
        <v>42</v>
      </c>
      <c r="AB67" s="3">
        <v>41</v>
      </c>
      <c r="AC67" s="5">
        <v>4.4000000000000004</v>
      </c>
      <c r="AD67" s="4">
        <v>1</v>
      </c>
      <c r="AE67" s="4">
        <v>0.87</v>
      </c>
      <c r="AF67" s="4">
        <v>0.98</v>
      </c>
      <c r="AG67" s="4">
        <v>0.13</v>
      </c>
      <c r="AH67" s="4">
        <v>0.87</v>
      </c>
      <c r="AI67" s="4">
        <v>0</v>
      </c>
      <c r="AJ67" t="s">
        <v>72</v>
      </c>
      <c r="AK67" t="s">
        <v>62</v>
      </c>
      <c r="AL67" t="s">
        <v>62</v>
      </c>
      <c r="AM67" t="s">
        <v>63</v>
      </c>
      <c r="AN67" t="s">
        <v>97</v>
      </c>
      <c r="AO67" t="s">
        <v>79</v>
      </c>
      <c r="AP67" t="s">
        <v>66</v>
      </c>
    </row>
    <row r="68" spans="1:42" x14ac:dyDescent="0.25">
      <c r="A68" t="str">
        <f>HYPERLINK("HTTP://10.0.1.74/krs/171/detail","/krs/171")</f>
        <v>/krs/171</v>
      </c>
      <c r="B68">
        <v>171</v>
      </c>
      <c r="C68" t="s">
        <v>167</v>
      </c>
      <c r="D68" t="s">
        <v>47</v>
      </c>
      <c r="E68" t="s">
        <v>168</v>
      </c>
      <c r="F68" t="s">
        <v>99</v>
      </c>
      <c r="G68" s="1">
        <v>42986</v>
      </c>
      <c r="H68" t="s">
        <v>169</v>
      </c>
      <c r="I68" t="s">
        <v>57</v>
      </c>
      <c r="J68" t="s">
        <v>170</v>
      </c>
      <c r="K68" s="3">
        <v>385</v>
      </c>
      <c r="L68" s="3">
        <v>135</v>
      </c>
      <c r="M68" s="3">
        <v>520</v>
      </c>
      <c r="N68" s="4">
        <v>0.74</v>
      </c>
      <c r="O68" s="3">
        <v>13</v>
      </c>
      <c r="P68" s="3"/>
      <c r="Q68" s="3">
        <v>9</v>
      </c>
      <c r="R68" s="3">
        <v>13</v>
      </c>
      <c r="S68" s="5">
        <v>4</v>
      </c>
      <c r="T68" s="5">
        <v>4</v>
      </c>
      <c r="U68" s="4">
        <v>0.8</v>
      </c>
      <c r="V68" s="4">
        <v>0.74</v>
      </c>
      <c r="W68" s="4">
        <v>1</v>
      </c>
      <c r="X68" s="4">
        <v>0.99</v>
      </c>
      <c r="Y68" s="4">
        <v>0.69</v>
      </c>
      <c r="Z68" s="4">
        <v>0.26</v>
      </c>
      <c r="AA68" s="3">
        <v>13</v>
      </c>
      <c r="AB68" s="3">
        <v>7</v>
      </c>
      <c r="AC68" s="5">
        <v>3.7</v>
      </c>
      <c r="AD68" s="4">
        <v>0.77</v>
      </c>
      <c r="AE68" s="4">
        <v>0.75</v>
      </c>
      <c r="AF68" s="4">
        <v>0.54</v>
      </c>
      <c r="AG68" s="4">
        <v>0.25</v>
      </c>
      <c r="AH68" s="4">
        <v>0.75</v>
      </c>
      <c r="AI68" s="4">
        <v>0.72</v>
      </c>
      <c r="AJ68" t="s">
        <v>72</v>
      </c>
      <c r="AK68" t="s">
        <v>62</v>
      </c>
      <c r="AL68" t="s">
        <v>62</v>
      </c>
      <c r="AM68" t="s">
        <v>63</v>
      </c>
      <c r="AN68" t="s">
        <v>64</v>
      </c>
      <c r="AO68" t="s">
        <v>79</v>
      </c>
      <c r="AP68" t="s">
        <v>66</v>
      </c>
    </row>
    <row r="69" spans="1:42" x14ac:dyDescent="0.25">
      <c r="A69" t="str">
        <f>HYPERLINK("HTTP://10.0.1.74/krs/173/detail","/krs/173")</f>
        <v>/krs/173</v>
      </c>
      <c r="B69">
        <v>173</v>
      </c>
      <c r="C69" t="s">
        <v>171</v>
      </c>
      <c r="D69" t="s">
        <v>47</v>
      </c>
      <c r="E69" t="s">
        <v>168</v>
      </c>
      <c r="F69" t="s">
        <v>102</v>
      </c>
      <c r="G69" s="1">
        <v>42989</v>
      </c>
      <c r="H69" t="s">
        <v>169</v>
      </c>
      <c r="I69" t="s">
        <v>57</v>
      </c>
      <c r="K69" s="3">
        <v>480</v>
      </c>
      <c r="L69" s="3">
        <v>80</v>
      </c>
      <c r="M69" s="3">
        <v>560</v>
      </c>
      <c r="N69" s="4">
        <v>0.86</v>
      </c>
      <c r="O69" s="3">
        <v>14</v>
      </c>
      <c r="P69" s="3"/>
      <c r="Q69" s="3">
        <v>14</v>
      </c>
      <c r="R69" s="3">
        <v>14</v>
      </c>
      <c r="S69" s="5">
        <v>4.4000000000000004</v>
      </c>
      <c r="T69" s="5">
        <v>4.5999999999999996</v>
      </c>
      <c r="U69" s="4">
        <v>0.91</v>
      </c>
      <c r="V69" s="4">
        <v>0.86</v>
      </c>
      <c r="W69" s="4">
        <v>1</v>
      </c>
      <c r="X69" s="4">
        <v>0</v>
      </c>
      <c r="Y69" s="4">
        <v>1</v>
      </c>
      <c r="Z69" s="4">
        <v>0.14000000000000001</v>
      </c>
      <c r="AA69" s="3">
        <v>14</v>
      </c>
      <c r="AB69" s="3">
        <v>11</v>
      </c>
      <c r="AC69" s="5">
        <v>4.3</v>
      </c>
      <c r="AD69" s="4">
        <v>1</v>
      </c>
      <c r="AE69" s="4">
        <v>0.86</v>
      </c>
      <c r="AF69" s="4">
        <v>0.79</v>
      </c>
      <c r="AG69" s="4">
        <v>0.14000000000000001</v>
      </c>
      <c r="AH69" s="4">
        <v>0.85</v>
      </c>
      <c r="AI69" s="4">
        <v>0.88</v>
      </c>
      <c r="AJ69" t="s">
        <v>72</v>
      </c>
      <c r="AK69" t="s">
        <v>62</v>
      </c>
      <c r="AL69" t="s">
        <v>62</v>
      </c>
      <c r="AM69" t="s">
        <v>63</v>
      </c>
      <c r="AN69" t="s">
        <v>64</v>
      </c>
      <c r="AO69" t="s">
        <v>79</v>
      </c>
      <c r="AP69" t="s">
        <v>75</v>
      </c>
    </row>
    <row r="70" spans="1:42" x14ac:dyDescent="0.25">
      <c r="A70" t="str">
        <f>HYPERLINK("HTTP://10.0.1.74/krs/174/detail","/krs/174")</f>
        <v>/krs/174</v>
      </c>
      <c r="B70">
        <v>174</v>
      </c>
      <c r="C70" t="s">
        <v>171</v>
      </c>
      <c r="D70" t="s">
        <v>47</v>
      </c>
      <c r="E70" t="s">
        <v>168</v>
      </c>
      <c r="F70" t="s">
        <v>105</v>
      </c>
      <c r="G70" s="1">
        <v>42985</v>
      </c>
      <c r="H70" t="s">
        <v>169</v>
      </c>
      <c r="I70" t="s">
        <v>57</v>
      </c>
      <c r="K70" s="3">
        <v>417</v>
      </c>
      <c r="L70" s="3">
        <v>103</v>
      </c>
      <c r="M70" s="3">
        <v>520</v>
      </c>
      <c r="N70" s="4">
        <v>0.8</v>
      </c>
      <c r="O70" s="3">
        <v>13</v>
      </c>
      <c r="P70" s="3"/>
      <c r="Q70" s="3">
        <v>9</v>
      </c>
      <c r="R70" s="3">
        <v>13</v>
      </c>
      <c r="S70" s="5">
        <v>4.2</v>
      </c>
      <c r="T70" s="5">
        <v>4.2</v>
      </c>
      <c r="U70" s="4">
        <v>0.83</v>
      </c>
      <c r="V70" s="4">
        <v>0.8</v>
      </c>
      <c r="W70" s="4">
        <v>1</v>
      </c>
      <c r="X70" s="4">
        <v>0.96</v>
      </c>
      <c r="Y70" s="4">
        <v>0.69</v>
      </c>
      <c r="Z70" s="4">
        <v>0.2</v>
      </c>
      <c r="AA70" s="3">
        <v>13</v>
      </c>
      <c r="AB70" s="3">
        <v>10</v>
      </c>
      <c r="AC70" s="5">
        <v>4.2</v>
      </c>
      <c r="AD70" s="4">
        <v>1</v>
      </c>
      <c r="AE70" s="4">
        <v>0.83</v>
      </c>
      <c r="AF70" s="4">
        <v>0.77</v>
      </c>
      <c r="AG70" s="4">
        <v>0.17</v>
      </c>
      <c r="AH70" s="4">
        <v>0.79</v>
      </c>
      <c r="AI70" s="4">
        <v>0.83</v>
      </c>
      <c r="AJ70" t="s">
        <v>72</v>
      </c>
      <c r="AK70" t="s">
        <v>62</v>
      </c>
      <c r="AL70" t="s">
        <v>62</v>
      </c>
      <c r="AM70" t="s">
        <v>63</v>
      </c>
      <c r="AN70" t="s">
        <v>97</v>
      </c>
      <c r="AO70" t="s">
        <v>79</v>
      </c>
      <c r="AP70" t="s">
        <v>66</v>
      </c>
    </row>
    <row r="71" spans="1:42" x14ac:dyDescent="0.25">
      <c r="A71" t="str">
        <f>HYPERLINK("HTTP://10.0.1.74/krs/175/detail","/krs/175")</f>
        <v>/krs/175</v>
      </c>
      <c r="B71">
        <v>175</v>
      </c>
      <c r="C71" t="s">
        <v>171</v>
      </c>
      <c r="D71" t="s">
        <v>47</v>
      </c>
      <c r="E71" t="s">
        <v>168</v>
      </c>
      <c r="F71" t="s">
        <v>89</v>
      </c>
      <c r="G71" s="1">
        <v>42985</v>
      </c>
      <c r="H71" t="s">
        <v>169</v>
      </c>
      <c r="I71" t="s">
        <v>57</v>
      </c>
      <c r="K71" s="3">
        <v>468</v>
      </c>
      <c r="L71" s="3">
        <v>172</v>
      </c>
      <c r="M71" s="3">
        <v>640</v>
      </c>
      <c r="N71" s="4">
        <v>0.73</v>
      </c>
      <c r="O71" s="3">
        <v>16</v>
      </c>
      <c r="P71" s="3"/>
      <c r="Q71" s="3">
        <v>12</v>
      </c>
      <c r="R71" s="3">
        <v>16</v>
      </c>
      <c r="S71" s="5">
        <v>3.9</v>
      </c>
      <c r="T71" s="5">
        <v>3.9</v>
      </c>
      <c r="U71" s="4">
        <v>0.78</v>
      </c>
      <c r="V71" s="4">
        <v>0.73</v>
      </c>
      <c r="W71" s="4">
        <v>1</v>
      </c>
      <c r="X71" s="4">
        <v>0.96</v>
      </c>
      <c r="Y71" s="4">
        <v>0.75</v>
      </c>
      <c r="Z71" s="4">
        <v>0.27</v>
      </c>
      <c r="AA71" s="3">
        <v>16</v>
      </c>
      <c r="AB71" s="3">
        <v>10</v>
      </c>
      <c r="AC71" s="5">
        <v>3.8</v>
      </c>
      <c r="AD71" s="4">
        <v>0.94</v>
      </c>
      <c r="AE71" s="4">
        <v>0.76</v>
      </c>
      <c r="AF71" s="4">
        <v>0.63</v>
      </c>
      <c r="AG71" s="4">
        <v>0.24</v>
      </c>
      <c r="AH71" s="4">
        <v>0.74</v>
      </c>
      <c r="AI71" s="4">
        <v>0.69</v>
      </c>
      <c r="AJ71" t="s">
        <v>72</v>
      </c>
      <c r="AK71" t="s">
        <v>62</v>
      </c>
      <c r="AL71" t="s">
        <v>62</v>
      </c>
      <c r="AM71" t="s">
        <v>63</v>
      </c>
      <c r="AN71" t="s">
        <v>64</v>
      </c>
      <c r="AO71" t="s">
        <v>79</v>
      </c>
      <c r="AP71" t="s">
        <v>66</v>
      </c>
    </row>
    <row r="72" spans="1:42" x14ac:dyDescent="0.25">
      <c r="A72" t="str">
        <f>HYPERLINK("HTTP://10.0.1.74/krs/176/detail","/krs/176")</f>
        <v>/krs/176</v>
      </c>
      <c r="B72">
        <v>176</v>
      </c>
      <c r="C72" t="s">
        <v>171</v>
      </c>
      <c r="D72" t="s">
        <v>47</v>
      </c>
      <c r="E72" t="s">
        <v>168</v>
      </c>
      <c r="F72" t="s">
        <v>107</v>
      </c>
      <c r="G72" s="1">
        <v>42986</v>
      </c>
      <c r="H72" t="s">
        <v>169</v>
      </c>
      <c r="I72" t="s">
        <v>57</v>
      </c>
      <c r="K72" s="3">
        <v>390</v>
      </c>
      <c r="L72" s="3">
        <v>90</v>
      </c>
      <c r="M72" s="3">
        <v>480</v>
      </c>
      <c r="N72" s="4">
        <v>0.81</v>
      </c>
      <c r="O72" s="3">
        <v>12</v>
      </c>
      <c r="P72" s="3"/>
      <c r="Q72" s="3">
        <v>12</v>
      </c>
      <c r="R72" s="3">
        <v>12</v>
      </c>
      <c r="S72" s="5">
        <v>4.3</v>
      </c>
      <c r="T72" s="5">
        <v>4.3</v>
      </c>
      <c r="U72" s="4">
        <v>0.85</v>
      </c>
      <c r="V72" s="4">
        <v>0.81</v>
      </c>
      <c r="W72" s="4">
        <v>1</v>
      </c>
      <c r="X72" s="4">
        <v>0.95</v>
      </c>
      <c r="Y72" s="4">
        <v>1</v>
      </c>
      <c r="Z72" s="4">
        <v>0.19</v>
      </c>
      <c r="AA72" s="3">
        <v>12</v>
      </c>
      <c r="AB72" s="3">
        <v>12</v>
      </c>
      <c r="AC72" s="5">
        <v>4.3</v>
      </c>
      <c r="AD72" s="4">
        <v>1</v>
      </c>
      <c r="AE72" s="4">
        <v>0.85</v>
      </c>
      <c r="AF72" s="4">
        <v>1</v>
      </c>
      <c r="AG72" s="4">
        <v>0.15</v>
      </c>
      <c r="AH72" s="4">
        <v>0.81</v>
      </c>
      <c r="AI72" s="4">
        <v>0.82</v>
      </c>
      <c r="AJ72" t="s">
        <v>72</v>
      </c>
      <c r="AK72" t="s">
        <v>62</v>
      </c>
      <c r="AL72" t="s">
        <v>62</v>
      </c>
      <c r="AM72" t="s">
        <v>63</v>
      </c>
      <c r="AN72" t="s">
        <v>97</v>
      </c>
      <c r="AO72" t="s">
        <v>79</v>
      </c>
      <c r="AP72" t="s">
        <v>66</v>
      </c>
    </row>
    <row r="73" spans="1:42" x14ac:dyDescent="0.25">
      <c r="A73" t="str">
        <f>HYPERLINK("HTTP://10.0.1.74/krs/177/detail","/krs/177")</f>
        <v>/krs/177</v>
      </c>
      <c r="B73">
        <v>177</v>
      </c>
      <c r="C73" t="s">
        <v>46</v>
      </c>
      <c r="D73" t="s">
        <v>47</v>
      </c>
      <c r="E73" t="s">
        <v>54</v>
      </c>
      <c r="F73" t="s">
        <v>172</v>
      </c>
      <c r="G73" s="1">
        <v>42990</v>
      </c>
      <c r="H73" t="s">
        <v>152</v>
      </c>
      <c r="I73" t="s">
        <v>51</v>
      </c>
      <c r="J73" t="s">
        <v>173</v>
      </c>
      <c r="K73" s="3">
        <v>583</v>
      </c>
      <c r="L73" s="3">
        <v>192</v>
      </c>
      <c r="M73" s="3">
        <v>775</v>
      </c>
      <c r="N73" s="4">
        <v>0.75</v>
      </c>
      <c r="O73" s="3">
        <v>25</v>
      </c>
      <c r="P73" s="3"/>
      <c r="Q73" s="3">
        <v>22</v>
      </c>
      <c r="R73" s="3">
        <v>25</v>
      </c>
      <c r="S73" s="5">
        <v>4</v>
      </c>
      <c r="T73" s="5">
        <v>4</v>
      </c>
      <c r="U73" s="4">
        <v>0.8</v>
      </c>
      <c r="V73" s="4">
        <v>0.75</v>
      </c>
      <c r="W73" s="4">
        <v>1</v>
      </c>
      <c r="X73" s="4">
        <v>0</v>
      </c>
      <c r="Y73" s="4">
        <v>0.88</v>
      </c>
      <c r="Z73" s="4">
        <v>0.25</v>
      </c>
      <c r="AA73" s="3">
        <v>0</v>
      </c>
      <c r="AB73" s="3">
        <v>0</v>
      </c>
      <c r="AC73" s="5">
        <v>0</v>
      </c>
      <c r="AD73" s="4">
        <v>0</v>
      </c>
      <c r="AE73" s="4">
        <v>0</v>
      </c>
      <c r="AF73" s="4">
        <v>0</v>
      </c>
      <c r="AG73" s="4">
        <v>1</v>
      </c>
      <c r="AH73" s="4">
        <v>0.78</v>
      </c>
      <c r="AI73" s="4">
        <v>0</v>
      </c>
      <c r="AJ73" t="s">
        <v>72</v>
      </c>
      <c r="AK73" t="s">
        <v>62</v>
      </c>
      <c r="AL73" t="s">
        <v>62</v>
      </c>
      <c r="AM73" t="s">
        <v>63</v>
      </c>
      <c r="AN73" t="s">
        <v>64</v>
      </c>
      <c r="AO73" t="s">
        <v>79</v>
      </c>
      <c r="AP73" t="s">
        <v>75</v>
      </c>
    </row>
    <row r="74" spans="1:42" x14ac:dyDescent="0.25">
      <c r="A74" t="str">
        <f>HYPERLINK("HTTP://10.0.1.74/krs/178/detail","/krs/178")</f>
        <v>/krs/178</v>
      </c>
      <c r="B74">
        <v>178</v>
      </c>
      <c r="C74" t="s">
        <v>46</v>
      </c>
      <c r="D74" t="s">
        <v>81</v>
      </c>
      <c r="E74" t="s">
        <v>98</v>
      </c>
      <c r="F74" t="s">
        <v>136</v>
      </c>
      <c r="G74" s="1">
        <v>43006.512824074074</v>
      </c>
      <c r="H74" t="s">
        <v>174</v>
      </c>
      <c r="I74" t="s">
        <v>51</v>
      </c>
      <c r="K74" s="3">
        <v>130</v>
      </c>
      <c r="L74" s="3">
        <v>26</v>
      </c>
      <c r="M74" s="3">
        <v>156</v>
      </c>
      <c r="N74" s="4">
        <v>0.83</v>
      </c>
      <c r="O74" s="3">
        <v>13</v>
      </c>
      <c r="P74" s="3"/>
      <c r="Q74" s="3">
        <v>0</v>
      </c>
      <c r="R74" s="3">
        <v>13</v>
      </c>
      <c r="S74" s="5">
        <v>4.3</v>
      </c>
      <c r="T74" s="5">
        <v>1</v>
      </c>
      <c r="U74" s="4">
        <v>0.2</v>
      </c>
      <c r="V74" s="4">
        <v>0.83</v>
      </c>
      <c r="W74" s="4">
        <v>0</v>
      </c>
      <c r="X74" s="4">
        <v>1.17</v>
      </c>
      <c r="Y74" s="4">
        <v>0</v>
      </c>
      <c r="Z74" s="4">
        <v>0.17</v>
      </c>
      <c r="AA74" s="3">
        <v>13</v>
      </c>
      <c r="AB74" s="3">
        <v>5</v>
      </c>
      <c r="AC74" s="5">
        <v>3.5</v>
      </c>
      <c r="AD74" s="4">
        <v>1</v>
      </c>
      <c r="AE74" s="4">
        <v>0.71</v>
      </c>
      <c r="AF74" s="4">
        <v>0.38</v>
      </c>
      <c r="AG74" s="4">
        <v>0.28999999999999998</v>
      </c>
      <c r="AH74" s="4">
        <v>0.87</v>
      </c>
      <c r="AI74" s="4">
        <v>0</v>
      </c>
      <c r="AJ74" t="s">
        <v>60</v>
      </c>
      <c r="AK74" t="s">
        <v>62</v>
      </c>
      <c r="AL74" t="s">
        <v>86</v>
      </c>
      <c r="AM74" t="s">
        <v>63</v>
      </c>
      <c r="AN74" t="s">
        <v>64</v>
      </c>
      <c r="AO74" t="s">
        <v>79</v>
      </c>
      <c r="AP74" t="s">
        <v>66</v>
      </c>
    </row>
    <row r="75" spans="1:42" x14ac:dyDescent="0.25">
      <c r="A75" t="str">
        <f>HYPERLINK("HTTP://10.0.1.74/krs/179/detail","/krs/179")</f>
        <v>/krs/179</v>
      </c>
      <c r="B75">
        <v>179</v>
      </c>
      <c r="C75" t="s">
        <v>46</v>
      </c>
      <c r="D75" t="s">
        <v>47</v>
      </c>
      <c r="E75" t="s">
        <v>54</v>
      </c>
      <c r="F75" t="s">
        <v>89</v>
      </c>
      <c r="G75" s="1">
        <v>42985</v>
      </c>
      <c r="H75" t="s">
        <v>121</v>
      </c>
      <c r="I75" t="s">
        <v>51</v>
      </c>
      <c r="J75" t="s">
        <v>124</v>
      </c>
      <c r="K75" s="3">
        <v>704</v>
      </c>
      <c r="L75" s="3">
        <v>136</v>
      </c>
      <c r="M75" s="3">
        <v>840</v>
      </c>
      <c r="N75" s="4">
        <v>0.84</v>
      </c>
      <c r="O75" s="3">
        <v>28</v>
      </c>
      <c r="P75" s="3"/>
      <c r="Q75" s="3">
        <v>26</v>
      </c>
      <c r="R75" s="3">
        <v>28</v>
      </c>
      <c r="S75" s="5">
        <v>4.3</v>
      </c>
      <c r="T75" s="5">
        <v>4.0999999999999996</v>
      </c>
      <c r="U75" s="4">
        <v>0.81</v>
      </c>
      <c r="V75" s="4">
        <v>0.84</v>
      </c>
      <c r="W75" s="4">
        <v>1</v>
      </c>
      <c r="X75" s="4">
        <v>1.04</v>
      </c>
      <c r="Y75" s="4">
        <v>0.93</v>
      </c>
      <c r="Z75" s="4">
        <v>0.16</v>
      </c>
      <c r="AA75" s="3">
        <v>28</v>
      </c>
      <c r="AB75" s="3">
        <v>26</v>
      </c>
      <c r="AC75" s="5">
        <v>4</v>
      </c>
      <c r="AD75" s="4">
        <v>1</v>
      </c>
      <c r="AE75" s="4">
        <v>0.81</v>
      </c>
      <c r="AF75" s="4">
        <v>0.93</v>
      </c>
      <c r="AG75" s="4">
        <v>0.19</v>
      </c>
      <c r="AH75" s="4">
        <v>0.84</v>
      </c>
      <c r="AI75" s="4">
        <v>0.82</v>
      </c>
      <c r="AJ75" t="s">
        <v>72</v>
      </c>
      <c r="AK75" t="s">
        <v>62</v>
      </c>
      <c r="AL75" t="s">
        <v>62</v>
      </c>
      <c r="AM75" t="s">
        <v>63</v>
      </c>
      <c r="AN75" t="s">
        <v>97</v>
      </c>
      <c r="AO75" t="s">
        <v>79</v>
      </c>
      <c r="AP75" t="s">
        <v>66</v>
      </c>
    </row>
    <row r="76" spans="1:42" x14ac:dyDescent="0.25">
      <c r="A76" t="str">
        <f>HYPERLINK("HTTP://10.0.1.74/krs/182/detail","/krs/182")</f>
        <v>/krs/182</v>
      </c>
      <c r="B76">
        <v>182</v>
      </c>
      <c r="C76" t="s">
        <v>46</v>
      </c>
      <c r="D76" t="s">
        <v>47</v>
      </c>
      <c r="E76" t="s">
        <v>160</v>
      </c>
      <c r="F76" t="s">
        <v>123</v>
      </c>
      <c r="G76" s="1">
        <v>42992</v>
      </c>
      <c r="H76" t="s">
        <v>121</v>
      </c>
      <c r="I76" t="s">
        <v>51</v>
      </c>
      <c r="J76" t="s">
        <v>124</v>
      </c>
      <c r="K76" s="3">
        <v>335</v>
      </c>
      <c r="L76" s="3">
        <v>29</v>
      </c>
      <c r="M76" s="3">
        <v>364</v>
      </c>
      <c r="N76" s="4">
        <v>0.92</v>
      </c>
      <c r="O76" s="3">
        <v>26</v>
      </c>
      <c r="P76" s="3"/>
      <c r="Q76" s="3">
        <v>26</v>
      </c>
      <c r="R76" s="3">
        <v>26</v>
      </c>
      <c r="S76" s="5">
        <v>4.7</v>
      </c>
      <c r="T76" s="5">
        <v>4.5999999999999996</v>
      </c>
      <c r="U76" s="4">
        <v>0.92</v>
      </c>
      <c r="V76" s="4">
        <v>0.92</v>
      </c>
      <c r="W76" s="4">
        <v>1</v>
      </c>
      <c r="X76" s="4">
        <v>1</v>
      </c>
      <c r="Y76" s="4">
        <v>1</v>
      </c>
      <c r="Z76" s="4">
        <v>0.08</v>
      </c>
      <c r="AA76" s="3">
        <v>26</v>
      </c>
      <c r="AB76" s="3">
        <v>26</v>
      </c>
      <c r="AC76" s="5">
        <v>4.5999999999999996</v>
      </c>
      <c r="AD76" s="4">
        <v>1</v>
      </c>
      <c r="AE76" s="4">
        <v>0.92</v>
      </c>
      <c r="AF76" s="4">
        <v>1</v>
      </c>
      <c r="AG76" s="4">
        <v>0.08</v>
      </c>
      <c r="AH76" s="4">
        <v>0.93</v>
      </c>
      <c r="AI76" s="4">
        <v>0.9</v>
      </c>
      <c r="AJ76" t="s">
        <v>72</v>
      </c>
      <c r="AK76" t="s">
        <v>62</v>
      </c>
      <c r="AL76" t="s">
        <v>62</v>
      </c>
      <c r="AM76" t="s">
        <v>63</v>
      </c>
      <c r="AN76" t="s">
        <v>97</v>
      </c>
      <c r="AO76" t="s">
        <v>79</v>
      </c>
      <c r="AP76" t="s">
        <v>66</v>
      </c>
    </row>
    <row r="77" spans="1:42" x14ac:dyDescent="0.25">
      <c r="A77" t="str">
        <f>HYPERLINK("HTTP://10.0.1.74/krs/183/detail","/krs/183")</f>
        <v>/krs/183</v>
      </c>
      <c r="B77">
        <v>183</v>
      </c>
      <c r="C77" t="s">
        <v>171</v>
      </c>
      <c r="D77" t="s">
        <v>47</v>
      </c>
      <c r="E77" t="s">
        <v>168</v>
      </c>
      <c r="F77" t="s">
        <v>126</v>
      </c>
      <c r="G77" s="1">
        <v>42994</v>
      </c>
      <c r="H77" t="s">
        <v>169</v>
      </c>
      <c r="I77" t="s">
        <v>57</v>
      </c>
      <c r="K77" s="3">
        <v>1493</v>
      </c>
      <c r="L77" s="3">
        <v>347</v>
      </c>
      <c r="M77" s="3">
        <v>1840</v>
      </c>
      <c r="N77" s="4">
        <v>0.81</v>
      </c>
      <c r="O77" s="3">
        <v>46</v>
      </c>
      <c r="P77" s="3"/>
      <c r="Q77" s="3">
        <v>38</v>
      </c>
      <c r="R77" s="3">
        <v>46</v>
      </c>
      <c r="S77" s="5">
        <v>4.2</v>
      </c>
      <c r="T77" s="5">
        <v>4.3</v>
      </c>
      <c r="U77" s="4">
        <v>0.86</v>
      </c>
      <c r="V77" s="4">
        <v>0.81</v>
      </c>
      <c r="W77" s="4">
        <v>1</v>
      </c>
      <c r="X77" s="4">
        <v>0.98</v>
      </c>
      <c r="Y77" s="4">
        <v>0.83</v>
      </c>
      <c r="Z77" s="4">
        <v>0.19</v>
      </c>
      <c r="AA77" s="3">
        <v>36</v>
      </c>
      <c r="AB77" s="3">
        <v>29</v>
      </c>
      <c r="AC77" s="5">
        <v>4.0999999999999996</v>
      </c>
      <c r="AD77" s="4">
        <v>0.97</v>
      </c>
      <c r="AE77" s="4">
        <v>0.83</v>
      </c>
      <c r="AF77" s="4">
        <v>0.81</v>
      </c>
      <c r="AG77" s="4">
        <v>0.17</v>
      </c>
      <c r="AH77" s="4">
        <v>0.82</v>
      </c>
      <c r="AI77" s="4">
        <v>0.79</v>
      </c>
      <c r="AJ77" t="s">
        <v>72</v>
      </c>
      <c r="AK77" t="s">
        <v>62</v>
      </c>
      <c r="AL77" t="s">
        <v>62</v>
      </c>
      <c r="AM77" t="s">
        <v>63</v>
      </c>
      <c r="AN77" t="s">
        <v>97</v>
      </c>
      <c r="AO77" t="s">
        <v>79</v>
      </c>
      <c r="AP77" t="s">
        <v>66</v>
      </c>
    </row>
    <row r="78" spans="1:42" x14ac:dyDescent="0.25">
      <c r="A78" t="str">
        <f>HYPERLINK("HTTP://10.0.1.74/krs/186/detail","/krs/186")</f>
        <v>/krs/186</v>
      </c>
      <c r="B78">
        <v>186</v>
      </c>
      <c r="C78" t="s">
        <v>134</v>
      </c>
      <c r="D78" t="s">
        <v>47</v>
      </c>
      <c r="E78" t="s">
        <v>135</v>
      </c>
      <c r="F78" t="s">
        <v>175</v>
      </c>
      <c r="G78" s="1">
        <v>42989</v>
      </c>
      <c r="H78" t="s">
        <v>137</v>
      </c>
      <c r="I78" t="s">
        <v>57</v>
      </c>
      <c r="K78" s="3">
        <v>128</v>
      </c>
      <c r="L78" s="3">
        <v>162</v>
      </c>
      <c r="M78" s="3">
        <v>290</v>
      </c>
      <c r="N78" s="4">
        <v>0.44</v>
      </c>
      <c r="O78" s="3">
        <v>10</v>
      </c>
      <c r="P78" s="3"/>
      <c r="Q78" s="3">
        <v>1</v>
      </c>
      <c r="R78" s="3">
        <v>10</v>
      </c>
      <c r="S78" s="5">
        <v>2.4</v>
      </c>
      <c r="T78" s="5">
        <v>2.4</v>
      </c>
      <c r="U78" s="4">
        <v>0.48</v>
      </c>
      <c r="V78" s="4">
        <v>0.44</v>
      </c>
      <c r="W78" s="4">
        <v>0.3</v>
      </c>
      <c r="X78" s="4">
        <v>0.68</v>
      </c>
      <c r="Y78" s="4">
        <v>0.1</v>
      </c>
      <c r="Z78" s="4">
        <v>0.56000000000000005</v>
      </c>
      <c r="AA78" s="3">
        <v>10</v>
      </c>
      <c r="AB78" s="3">
        <v>4</v>
      </c>
      <c r="AC78" s="5">
        <v>3.3</v>
      </c>
      <c r="AD78" s="4">
        <v>0.7</v>
      </c>
      <c r="AE78" s="4">
        <v>0.65</v>
      </c>
      <c r="AF78" s="4">
        <v>0.4</v>
      </c>
      <c r="AG78" s="4">
        <v>0.35</v>
      </c>
      <c r="AH78" s="4">
        <v>0.42</v>
      </c>
      <c r="AI78" s="4">
        <v>0</v>
      </c>
      <c r="AJ78" t="s">
        <v>72</v>
      </c>
      <c r="AK78" t="s">
        <v>86</v>
      </c>
      <c r="AL78" t="s">
        <v>86</v>
      </c>
      <c r="AM78" t="s">
        <v>73</v>
      </c>
      <c r="AN78" t="s">
        <v>64</v>
      </c>
      <c r="AO78" t="s">
        <v>74</v>
      </c>
      <c r="AP78" t="s">
        <v>75</v>
      </c>
    </row>
    <row r="79" spans="1:42" x14ac:dyDescent="0.25">
      <c r="A79" t="str">
        <f>HYPERLINK("HTTP://10.0.1.74/krs/187/detail","/krs/187")</f>
        <v>/krs/187</v>
      </c>
      <c r="B79">
        <v>187</v>
      </c>
      <c r="C79" t="s">
        <v>46</v>
      </c>
      <c r="D79" t="s">
        <v>47</v>
      </c>
      <c r="E79" t="s">
        <v>54</v>
      </c>
      <c r="F79" t="s">
        <v>176</v>
      </c>
      <c r="G79" s="1">
        <v>42997</v>
      </c>
      <c r="H79" t="s">
        <v>121</v>
      </c>
      <c r="I79" t="s">
        <v>51</v>
      </c>
      <c r="J79" t="s">
        <v>124</v>
      </c>
      <c r="K79" s="3">
        <v>362</v>
      </c>
      <c r="L79" s="3">
        <v>58</v>
      </c>
      <c r="M79" s="3">
        <v>420</v>
      </c>
      <c r="N79" s="4">
        <v>0.86</v>
      </c>
      <c r="O79" s="3">
        <v>20</v>
      </c>
      <c r="P79" s="3"/>
      <c r="Q79" s="3">
        <v>17</v>
      </c>
      <c r="R79" s="3">
        <v>20</v>
      </c>
      <c r="S79" s="5">
        <v>4.5</v>
      </c>
      <c r="T79" s="5">
        <v>3.9</v>
      </c>
      <c r="U79" s="4">
        <v>0.78</v>
      </c>
      <c r="V79" s="4">
        <v>0.86</v>
      </c>
      <c r="W79" s="4">
        <v>0.85</v>
      </c>
      <c r="X79" s="4">
        <v>0.97</v>
      </c>
      <c r="Y79" s="4">
        <v>0.85</v>
      </c>
      <c r="Z79" s="4">
        <v>0.14000000000000001</v>
      </c>
      <c r="AA79" s="3">
        <v>19</v>
      </c>
      <c r="AB79" s="3">
        <v>19</v>
      </c>
      <c r="AC79" s="5">
        <v>4.5</v>
      </c>
      <c r="AD79" s="4">
        <v>1</v>
      </c>
      <c r="AE79" s="4">
        <v>0.89</v>
      </c>
      <c r="AF79" s="4">
        <v>1</v>
      </c>
      <c r="AG79" s="4">
        <v>0.11</v>
      </c>
      <c r="AH79" s="4">
        <v>0.86</v>
      </c>
      <c r="AI79" s="4">
        <v>0</v>
      </c>
      <c r="AJ79" t="s">
        <v>72</v>
      </c>
      <c r="AK79" t="s">
        <v>62</v>
      </c>
      <c r="AL79" t="s">
        <v>62</v>
      </c>
      <c r="AM79" t="s">
        <v>63</v>
      </c>
      <c r="AN79" t="s">
        <v>64</v>
      </c>
      <c r="AO79" t="s">
        <v>79</v>
      </c>
      <c r="AP79" t="s">
        <v>66</v>
      </c>
    </row>
    <row r="80" spans="1:42" x14ac:dyDescent="0.25">
      <c r="A80" t="str">
        <f>HYPERLINK("HTTP://10.0.1.74/krs/188/detail","/krs/188")</f>
        <v>/krs/188</v>
      </c>
      <c r="B80">
        <v>188</v>
      </c>
      <c r="C80" t="s">
        <v>80</v>
      </c>
      <c r="D80" t="s">
        <v>81</v>
      </c>
      <c r="E80" t="s">
        <v>54</v>
      </c>
      <c r="F80" t="s">
        <v>76</v>
      </c>
      <c r="G80" s="1">
        <v>43006</v>
      </c>
      <c r="H80" t="s">
        <v>56</v>
      </c>
      <c r="I80" t="s">
        <v>57</v>
      </c>
      <c r="J80" t="s">
        <v>177</v>
      </c>
      <c r="K80" s="3">
        <v>219</v>
      </c>
      <c r="L80" s="3">
        <v>155</v>
      </c>
      <c r="M80" s="3">
        <v>374</v>
      </c>
      <c r="N80" s="4">
        <v>0.59</v>
      </c>
      <c r="O80" s="3">
        <v>22</v>
      </c>
      <c r="P80" s="3"/>
      <c r="Q80" s="3">
        <v>12</v>
      </c>
      <c r="R80" s="3">
        <v>21</v>
      </c>
      <c r="S80" s="5">
        <v>3</v>
      </c>
      <c r="T80" s="5">
        <v>3.4</v>
      </c>
      <c r="U80" s="4">
        <v>0.7</v>
      </c>
      <c r="V80" s="4">
        <v>0.59</v>
      </c>
      <c r="W80" s="4">
        <v>0.86</v>
      </c>
      <c r="X80" s="4">
        <v>0.83</v>
      </c>
      <c r="Y80" s="4">
        <v>0.56999999999999995</v>
      </c>
      <c r="Z80" s="4">
        <v>0.41</v>
      </c>
      <c r="AA80" s="3">
        <v>21</v>
      </c>
      <c r="AB80" s="3">
        <v>9</v>
      </c>
      <c r="AC80" s="5">
        <v>3.5</v>
      </c>
      <c r="AD80" s="4">
        <v>0.9</v>
      </c>
      <c r="AE80" s="4">
        <v>0.71</v>
      </c>
      <c r="AF80" s="4">
        <v>0.43</v>
      </c>
      <c r="AG80" s="4">
        <v>0.28999999999999998</v>
      </c>
      <c r="AH80" s="4">
        <v>0.55000000000000004</v>
      </c>
      <c r="AI80" s="4">
        <v>0</v>
      </c>
      <c r="AJ80" t="s">
        <v>60</v>
      </c>
      <c r="AK80" t="s">
        <v>86</v>
      </c>
      <c r="AL80" t="s">
        <v>62</v>
      </c>
      <c r="AM80" t="s">
        <v>73</v>
      </c>
      <c r="AN80" t="s">
        <v>64</v>
      </c>
      <c r="AO80" t="s">
        <v>74</v>
      </c>
      <c r="AP80" t="s">
        <v>75</v>
      </c>
    </row>
    <row r="81" spans="1:42" x14ac:dyDescent="0.25">
      <c r="A81" t="str">
        <f>HYPERLINK("HTTP://10.0.1.74/krs/189/detail","/krs/189")</f>
        <v>/krs/189</v>
      </c>
      <c r="B81">
        <v>189</v>
      </c>
      <c r="C81" t="s">
        <v>178</v>
      </c>
      <c r="D81" t="s">
        <v>47</v>
      </c>
      <c r="E81" t="s">
        <v>98</v>
      </c>
      <c r="F81" t="s">
        <v>105</v>
      </c>
      <c r="G81" s="1">
        <v>42984</v>
      </c>
      <c r="H81" t="s">
        <v>179</v>
      </c>
      <c r="I81" t="s">
        <v>51</v>
      </c>
      <c r="J81" t="s">
        <v>180</v>
      </c>
      <c r="K81" s="3"/>
      <c r="L81" s="3"/>
      <c r="M81" s="3"/>
      <c r="N81" s="4"/>
      <c r="O81" s="3"/>
      <c r="P81" s="3"/>
      <c r="Q81" s="3"/>
      <c r="R81" s="3"/>
      <c r="S81" s="5"/>
      <c r="T81" s="5"/>
      <c r="U81" s="4"/>
      <c r="V81" s="4"/>
      <c r="W81" s="4"/>
      <c r="X81" s="4"/>
      <c r="Y81" s="4"/>
      <c r="Z81" s="4"/>
      <c r="AA81" s="3"/>
      <c r="AB81" s="3"/>
      <c r="AC81" s="5"/>
      <c r="AD81" s="4"/>
      <c r="AE81" s="4"/>
      <c r="AF81" s="4"/>
      <c r="AG81" s="4"/>
      <c r="AH81" s="4"/>
      <c r="AI81" s="4"/>
      <c r="AJ81" t="s">
        <v>52</v>
      </c>
      <c r="AK81" t="s">
        <v>52</v>
      </c>
      <c r="AL81" t="s">
        <v>52</v>
      </c>
      <c r="AM81" t="s">
        <v>52</v>
      </c>
      <c r="AN81" t="s">
        <v>52</v>
      </c>
      <c r="AO81" t="s">
        <v>52</v>
      </c>
      <c r="AP81" t="s">
        <v>52</v>
      </c>
    </row>
    <row r="82" spans="1:42" x14ac:dyDescent="0.25">
      <c r="A82" t="str">
        <f>HYPERLINK("HTTP://10.0.1.74/krs/190/detail","/krs/190")</f>
        <v>/krs/190</v>
      </c>
      <c r="B82">
        <v>190</v>
      </c>
      <c r="C82" t="s">
        <v>181</v>
      </c>
      <c r="D82" t="s">
        <v>47</v>
      </c>
      <c r="E82" t="s">
        <v>98</v>
      </c>
      <c r="F82" t="s">
        <v>182</v>
      </c>
      <c r="G82" s="1">
        <v>42984</v>
      </c>
      <c r="H82" t="s">
        <v>179</v>
      </c>
      <c r="I82" t="s">
        <v>57</v>
      </c>
      <c r="J82" t="s">
        <v>183</v>
      </c>
      <c r="K82" s="3">
        <v>1143</v>
      </c>
      <c r="L82" s="3">
        <v>489</v>
      </c>
      <c r="M82" s="3">
        <v>1632</v>
      </c>
      <c r="N82" s="4">
        <v>0.7</v>
      </c>
      <c r="O82" s="3">
        <v>32</v>
      </c>
      <c r="P82" s="3"/>
      <c r="Q82" s="3">
        <v>20</v>
      </c>
      <c r="R82" s="3">
        <v>32</v>
      </c>
      <c r="S82" s="5">
        <v>3.8</v>
      </c>
      <c r="T82" s="5">
        <v>3.6</v>
      </c>
      <c r="U82" s="4">
        <v>0.73</v>
      </c>
      <c r="V82" s="4">
        <v>0.7</v>
      </c>
      <c r="W82" s="4">
        <v>0.91</v>
      </c>
      <c r="X82" s="4">
        <v>0.93</v>
      </c>
      <c r="Y82" s="4">
        <v>0.63</v>
      </c>
      <c r="Z82" s="4">
        <v>0.3</v>
      </c>
      <c r="AA82" s="3">
        <v>32</v>
      </c>
      <c r="AB82" s="3">
        <v>14</v>
      </c>
      <c r="AC82" s="5">
        <v>3.7</v>
      </c>
      <c r="AD82" s="4">
        <v>0.88</v>
      </c>
      <c r="AE82" s="4">
        <v>0.75</v>
      </c>
      <c r="AF82" s="4">
        <v>0.44</v>
      </c>
      <c r="AG82" s="4">
        <v>0.25</v>
      </c>
      <c r="AH82" s="4">
        <v>0.79</v>
      </c>
      <c r="AI82" s="4">
        <v>0</v>
      </c>
      <c r="AJ82" t="s">
        <v>72</v>
      </c>
      <c r="AK82" t="s">
        <v>62</v>
      </c>
      <c r="AL82" t="s">
        <v>62</v>
      </c>
      <c r="AM82" t="s">
        <v>63</v>
      </c>
      <c r="AN82" t="s">
        <v>64</v>
      </c>
      <c r="AO82" t="s">
        <v>65</v>
      </c>
      <c r="AP82" t="s">
        <v>66</v>
      </c>
    </row>
    <row r="83" spans="1:42" x14ac:dyDescent="0.25">
      <c r="A83" t="str">
        <f>HYPERLINK("HTTP://10.0.1.74/krs/192/detail","/krs/192")</f>
        <v>/krs/192</v>
      </c>
      <c r="B83">
        <v>192</v>
      </c>
      <c r="C83" t="s">
        <v>181</v>
      </c>
      <c r="D83" t="s">
        <v>47</v>
      </c>
      <c r="E83" t="s">
        <v>98</v>
      </c>
      <c r="F83" t="s">
        <v>90</v>
      </c>
      <c r="G83" s="1">
        <v>42985</v>
      </c>
      <c r="H83" t="s">
        <v>179</v>
      </c>
      <c r="I83" t="s">
        <v>51</v>
      </c>
      <c r="J83" t="s">
        <v>184</v>
      </c>
      <c r="K83" s="3">
        <v>256</v>
      </c>
      <c r="L83" s="3">
        <v>136</v>
      </c>
      <c r="M83" s="3">
        <v>392</v>
      </c>
      <c r="N83" s="4">
        <v>0.65</v>
      </c>
      <c r="O83" s="3">
        <v>14</v>
      </c>
      <c r="P83" s="3"/>
      <c r="Q83" s="3">
        <v>7</v>
      </c>
      <c r="R83" s="3">
        <v>14</v>
      </c>
      <c r="S83" s="5">
        <v>3.6</v>
      </c>
      <c r="T83" s="5">
        <v>3.5</v>
      </c>
      <c r="U83" s="4">
        <v>0.7</v>
      </c>
      <c r="V83" s="4">
        <v>0.65</v>
      </c>
      <c r="W83" s="4">
        <v>0.86</v>
      </c>
      <c r="X83" s="4">
        <v>0.86</v>
      </c>
      <c r="Y83" s="4">
        <v>0.5</v>
      </c>
      <c r="Z83" s="4">
        <v>0.35</v>
      </c>
      <c r="AA83" s="3">
        <v>14</v>
      </c>
      <c r="AB83" s="3">
        <v>8</v>
      </c>
      <c r="AC83" s="5">
        <v>3.8</v>
      </c>
      <c r="AD83" s="4">
        <v>0.86</v>
      </c>
      <c r="AE83" s="4">
        <v>0.76</v>
      </c>
      <c r="AF83" s="4">
        <v>0.56999999999999995</v>
      </c>
      <c r="AG83" s="4">
        <v>0.24</v>
      </c>
      <c r="AH83" s="4">
        <v>0.66</v>
      </c>
      <c r="AI83" s="4">
        <v>0</v>
      </c>
      <c r="AJ83" t="s">
        <v>72</v>
      </c>
      <c r="AK83" t="s">
        <v>61</v>
      </c>
      <c r="AL83" t="s">
        <v>62</v>
      </c>
      <c r="AM83" t="s">
        <v>73</v>
      </c>
      <c r="AN83" t="s">
        <v>97</v>
      </c>
      <c r="AO83" t="s">
        <v>74</v>
      </c>
      <c r="AP83" t="s">
        <v>75</v>
      </c>
    </row>
    <row r="84" spans="1:42" x14ac:dyDescent="0.25">
      <c r="A84" t="str">
        <f>HYPERLINK("HTTP://10.0.1.74/krs/194/detail","/krs/194")</f>
        <v>/krs/194</v>
      </c>
      <c r="B84">
        <v>194</v>
      </c>
      <c r="C84" t="s">
        <v>181</v>
      </c>
      <c r="D84" t="s">
        <v>47</v>
      </c>
      <c r="E84" t="s">
        <v>98</v>
      </c>
      <c r="F84" t="s">
        <v>185</v>
      </c>
      <c r="G84" s="1">
        <v>42985</v>
      </c>
      <c r="H84" t="s">
        <v>179</v>
      </c>
      <c r="I84" t="s">
        <v>51</v>
      </c>
      <c r="J84" t="s">
        <v>186</v>
      </c>
      <c r="K84" s="3">
        <v>588</v>
      </c>
      <c r="L84" s="3">
        <v>294</v>
      </c>
      <c r="M84" s="3">
        <v>882</v>
      </c>
      <c r="N84" s="4">
        <v>0.67</v>
      </c>
      <c r="O84" s="3">
        <v>42</v>
      </c>
      <c r="P84" s="3"/>
      <c r="Q84" s="3">
        <v>28</v>
      </c>
      <c r="R84" s="3">
        <v>42</v>
      </c>
      <c r="S84" s="5">
        <v>3.7</v>
      </c>
      <c r="T84" s="5">
        <v>3.7</v>
      </c>
      <c r="U84" s="4">
        <v>0.74</v>
      </c>
      <c r="V84" s="4">
        <v>0.67</v>
      </c>
      <c r="W84" s="4">
        <v>1</v>
      </c>
      <c r="X84" s="4">
        <v>0.97</v>
      </c>
      <c r="Y84" s="4">
        <v>0.67</v>
      </c>
      <c r="Z84" s="4">
        <v>0.33</v>
      </c>
      <c r="AA84" s="3">
        <v>42</v>
      </c>
      <c r="AB84" s="3">
        <v>10</v>
      </c>
      <c r="AC84" s="5">
        <v>3.5</v>
      </c>
      <c r="AD84" s="4">
        <v>0.81</v>
      </c>
      <c r="AE84" s="4">
        <v>0.69</v>
      </c>
      <c r="AF84" s="4">
        <v>0.24</v>
      </c>
      <c r="AG84" s="4">
        <v>0.31</v>
      </c>
      <c r="AH84" s="4">
        <v>0.71</v>
      </c>
      <c r="AI84" s="4">
        <v>0</v>
      </c>
      <c r="AJ84" t="s">
        <v>72</v>
      </c>
      <c r="AK84" t="s">
        <v>61</v>
      </c>
      <c r="AL84" t="s">
        <v>62</v>
      </c>
      <c r="AM84" t="s">
        <v>63</v>
      </c>
      <c r="AN84" t="s">
        <v>64</v>
      </c>
      <c r="AO84" t="s">
        <v>79</v>
      </c>
      <c r="AP84" t="s">
        <v>66</v>
      </c>
    </row>
    <row r="85" spans="1:42" x14ac:dyDescent="0.25">
      <c r="A85" t="str">
        <f>HYPERLINK("HTTP://10.0.1.74/krs/195/detail","/krs/195")</f>
        <v>/krs/195</v>
      </c>
      <c r="B85">
        <v>195</v>
      </c>
      <c r="C85" t="s">
        <v>46</v>
      </c>
      <c r="D85" t="s">
        <v>47</v>
      </c>
      <c r="E85" t="s">
        <v>87</v>
      </c>
      <c r="F85" t="s">
        <v>108</v>
      </c>
      <c r="G85" s="1">
        <v>42983</v>
      </c>
      <c r="H85" t="s">
        <v>187</v>
      </c>
      <c r="I85" t="s">
        <v>51</v>
      </c>
      <c r="K85" s="3">
        <v>321</v>
      </c>
      <c r="L85" s="3">
        <v>99</v>
      </c>
      <c r="M85" s="3">
        <v>420</v>
      </c>
      <c r="N85" s="4">
        <v>0.76</v>
      </c>
      <c r="O85" s="3">
        <v>14</v>
      </c>
      <c r="P85" s="3"/>
      <c r="Q85" s="3">
        <v>13</v>
      </c>
      <c r="R85" s="3">
        <v>14</v>
      </c>
      <c r="S85" s="5">
        <v>4.0999999999999996</v>
      </c>
      <c r="T85" s="5">
        <v>4.0999999999999996</v>
      </c>
      <c r="U85" s="4">
        <v>0.81</v>
      </c>
      <c r="V85" s="4">
        <v>0.76</v>
      </c>
      <c r="W85" s="4">
        <v>1</v>
      </c>
      <c r="X85" s="4">
        <v>1</v>
      </c>
      <c r="Y85" s="4">
        <v>0.93</v>
      </c>
      <c r="Z85" s="4">
        <v>0.24</v>
      </c>
      <c r="AA85" s="3">
        <v>14</v>
      </c>
      <c r="AB85" s="3">
        <v>6</v>
      </c>
      <c r="AC85" s="5">
        <v>3.8</v>
      </c>
      <c r="AD85" s="4">
        <v>1</v>
      </c>
      <c r="AE85" s="4">
        <v>0.76</v>
      </c>
      <c r="AF85" s="4">
        <v>0.43</v>
      </c>
      <c r="AG85" s="4">
        <v>0.24</v>
      </c>
      <c r="AH85" s="4">
        <v>0.78</v>
      </c>
      <c r="AI85" s="4">
        <v>0.72</v>
      </c>
      <c r="AJ85" t="s">
        <v>72</v>
      </c>
      <c r="AK85" t="s">
        <v>62</v>
      </c>
      <c r="AL85" t="s">
        <v>62</v>
      </c>
      <c r="AM85" t="s">
        <v>63</v>
      </c>
      <c r="AN85" t="s">
        <v>64</v>
      </c>
      <c r="AO85" t="s">
        <v>79</v>
      </c>
      <c r="AP85" t="s">
        <v>66</v>
      </c>
    </row>
    <row r="86" spans="1:42" x14ac:dyDescent="0.25">
      <c r="A86" t="str">
        <f>HYPERLINK("HTTP://10.0.1.74/krs/197/detail","/krs/197")</f>
        <v>/krs/197</v>
      </c>
      <c r="B86">
        <v>197</v>
      </c>
      <c r="C86" t="s">
        <v>53</v>
      </c>
      <c r="D86" t="s">
        <v>47</v>
      </c>
      <c r="E86" t="s">
        <v>143</v>
      </c>
      <c r="F86" t="s">
        <v>105</v>
      </c>
      <c r="G86" s="1">
        <v>42986</v>
      </c>
      <c r="H86" t="s">
        <v>144</v>
      </c>
      <c r="I86" t="s">
        <v>51</v>
      </c>
      <c r="J86" t="s">
        <v>188</v>
      </c>
      <c r="K86" s="3">
        <v>353</v>
      </c>
      <c r="L86" s="3">
        <v>87</v>
      </c>
      <c r="M86" s="3">
        <v>440</v>
      </c>
      <c r="N86" s="4">
        <v>0.8</v>
      </c>
      <c r="O86" s="3">
        <v>20</v>
      </c>
      <c r="P86" s="3"/>
      <c r="Q86" s="3">
        <v>15</v>
      </c>
      <c r="R86" s="3">
        <v>20</v>
      </c>
      <c r="S86" s="5">
        <v>4.2</v>
      </c>
      <c r="T86" s="5">
        <v>4</v>
      </c>
      <c r="U86" s="4">
        <v>0.8</v>
      </c>
      <c r="V86" s="4">
        <v>0.8</v>
      </c>
      <c r="W86" s="4">
        <v>1</v>
      </c>
      <c r="X86" s="4">
        <v>0.98</v>
      </c>
      <c r="Y86" s="4">
        <v>0.75</v>
      </c>
      <c r="Z86" s="4">
        <v>0.2</v>
      </c>
      <c r="AA86" s="3">
        <v>20</v>
      </c>
      <c r="AB86" s="3">
        <v>16</v>
      </c>
      <c r="AC86" s="5">
        <v>4.0999999999999996</v>
      </c>
      <c r="AD86" s="4">
        <v>1</v>
      </c>
      <c r="AE86" s="4">
        <v>0.82</v>
      </c>
      <c r="AF86" s="4">
        <v>0.8</v>
      </c>
      <c r="AG86" s="4">
        <v>0.18</v>
      </c>
      <c r="AH86" s="4">
        <v>0.82</v>
      </c>
      <c r="AI86" s="4">
        <v>0</v>
      </c>
      <c r="AJ86" t="s">
        <v>72</v>
      </c>
      <c r="AK86" t="s">
        <v>62</v>
      </c>
      <c r="AL86" t="s">
        <v>62</v>
      </c>
      <c r="AM86" t="s">
        <v>63</v>
      </c>
      <c r="AN86" t="s">
        <v>97</v>
      </c>
      <c r="AO86" t="s">
        <v>79</v>
      </c>
      <c r="AP86" t="s">
        <v>66</v>
      </c>
    </row>
    <row r="87" spans="1:42" x14ac:dyDescent="0.25">
      <c r="A87" t="str">
        <f>HYPERLINK("HTTP://10.0.1.74/krs/199/detail","/krs/199")</f>
        <v>/krs/199</v>
      </c>
      <c r="B87">
        <v>199</v>
      </c>
      <c r="C87" t="s">
        <v>53</v>
      </c>
      <c r="D87" t="s">
        <v>47</v>
      </c>
      <c r="E87" t="s">
        <v>143</v>
      </c>
      <c r="F87" t="s">
        <v>107</v>
      </c>
      <c r="G87" s="1">
        <v>42986</v>
      </c>
      <c r="H87" t="s">
        <v>144</v>
      </c>
      <c r="I87" t="s">
        <v>51</v>
      </c>
      <c r="J87" t="s">
        <v>188</v>
      </c>
      <c r="K87" s="3">
        <v>318</v>
      </c>
      <c r="L87" s="3">
        <v>81</v>
      </c>
      <c r="M87" s="3">
        <v>399</v>
      </c>
      <c r="N87" s="4">
        <v>0.8</v>
      </c>
      <c r="O87" s="3">
        <v>19</v>
      </c>
      <c r="P87" s="3"/>
      <c r="Q87" s="3">
        <v>14</v>
      </c>
      <c r="R87" s="3">
        <v>19</v>
      </c>
      <c r="S87" s="5">
        <v>4.2</v>
      </c>
      <c r="T87" s="5">
        <v>4.0999999999999996</v>
      </c>
      <c r="U87" s="4">
        <v>0.82</v>
      </c>
      <c r="V87" s="4">
        <v>0.8</v>
      </c>
      <c r="W87" s="4">
        <v>0.95</v>
      </c>
      <c r="X87" s="4">
        <v>1.03</v>
      </c>
      <c r="Y87" s="4">
        <v>0.74</v>
      </c>
      <c r="Z87" s="4">
        <v>0.2</v>
      </c>
      <c r="AA87" s="3">
        <v>19</v>
      </c>
      <c r="AB87" s="3">
        <v>11</v>
      </c>
      <c r="AC87" s="5">
        <v>3.9</v>
      </c>
      <c r="AD87" s="4">
        <v>1</v>
      </c>
      <c r="AE87" s="4">
        <v>0.78</v>
      </c>
      <c r="AF87" s="4">
        <v>0.57999999999999996</v>
      </c>
      <c r="AG87" s="4">
        <v>0.22</v>
      </c>
      <c r="AH87" s="4">
        <v>0.8</v>
      </c>
      <c r="AI87" s="4">
        <v>0</v>
      </c>
      <c r="AJ87" t="s">
        <v>72</v>
      </c>
      <c r="AK87" t="s">
        <v>62</v>
      </c>
      <c r="AL87" t="s">
        <v>62</v>
      </c>
      <c r="AM87" t="s">
        <v>63</v>
      </c>
      <c r="AN87" t="s">
        <v>64</v>
      </c>
      <c r="AO87" t="s">
        <v>79</v>
      </c>
      <c r="AP87" t="s">
        <v>66</v>
      </c>
    </row>
    <row r="88" spans="1:42" x14ac:dyDescent="0.25">
      <c r="A88" t="str">
        <f>HYPERLINK("HTTP://10.0.1.74/krs/201/detail","/krs/201")</f>
        <v>/krs/201</v>
      </c>
      <c r="B88">
        <v>201</v>
      </c>
      <c r="C88" t="s">
        <v>53</v>
      </c>
      <c r="D88" t="s">
        <v>47</v>
      </c>
      <c r="E88" t="s">
        <v>143</v>
      </c>
      <c r="F88" t="s">
        <v>89</v>
      </c>
      <c r="G88" s="1">
        <v>43015</v>
      </c>
      <c r="H88" t="s">
        <v>144</v>
      </c>
      <c r="I88" t="s">
        <v>51</v>
      </c>
      <c r="J88" t="s">
        <v>188</v>
      </c>
      <c r="K88" s="3">
        <v>469</v>
      </c>
      <c r="L88" s="3">
        <v>119</v>
      </c>
      <c r="M88" s="3">
        <v>588</v>
      </c>
      <c r="N88" s="4">
        <v>0.8</v>
      </c>
      <c r="O88" s="3">
        <v>28</v>
      </c>
      <c r="P88" s="3"/>
      <c r="Q88" s="3">
        <v>23</v>
      </c>
      <c r="R88" s="3">
        <v>28</v>
      </c>
      <c r="S88" s="5">
        <v>4.2</v>
      </c>
      <c r="T88" s="5">
        <v>4.0999999999999996</v>
      </c>
      <c r="U88" s="4">
        <v>0.81</v>
      </c>
      <c r="V88" s="4">
        <v>0.8</v>
      </c>
      <c r="W88" s="4">
        <v>0.96</v>
      </c>
      <c r="X88" s="4">
        <v>1.04</v>
      </c>
      <c r="Y88" s="4">
        <v>0.82</v>
      </c>
      <c r="Z88" s="4">
        <v>0.2</v>
      </c>
      <c r="AA88" s="3">
        <v>28</v>
      </c>
      <c r="AB88" s="3">
        <v>21</v>
      </c>
      <c r="AC88" s="5">
        <v>3.9</v>
      </c>
      <c r="AD88" s="4">
        <v>1</v>
      </c>
      <c r="AE88" s="4">
        <v>0.77</v>
      </c>
      <c r="AF88" s="4">
        <v>0.75</v>
      </c>
      <c r="AG88" s="4">
        <v>0.23</v>
      </c>
      <c r="AH88" s="4">
        <v>0.84</v>
      </c>
      <c r="AI88" s="4">
        <v>0</v>
      </c>
      <c r="AJ88" t="s">
        <v>72</v>
      </c>
      <c r="AK88" t="s">
        <v>62</v>
      </c>
      <c r="AL88" t="s">
        <v>62</v>
      </c>
      <c r="AM88" t="s">
        <v>63</v>
      </c>
      <c r="AN88" t="s">
        <v>97</v>
      </c>
      <c r="AO88" t="s">
        <v>79</v>
      </c>
      <c r="AP88" t="s">
        <v>66</v>
      </c>
    </row>
    <row r="89" spans="1:42" x14ac:dyDescent="0.25">
      <c r="A89" t="str">
        <f>HYPERLINK("HTTP://10.0.1.74/krs/212/detail","/krs/212")</f>
        <v>/krs/212</v>
      </c>
      <c r="B89">
        <v>212</v>
      </c>
      <c r="C89" t="s">
        <v>46</v>
      </c>
      <c r="D89" t="s">
        <v>47</v>
      </c>
      <c r="E89" t="s">
        <v>54</v>
      </c>
      <c r="F89" t="s">
        <v>118</v>
      </c>
      <c r="G89" s="1">
        <v>42990</v>
      </c>
      <c r="H89" t="s">
        <v>152</v>
      </c>
      <c r="I89" t="s">
        <v>51</v>
      </c>
      <c r="J89" t="s">
        <v>189</v>
      </c>
      <c r="K89" s="3">
        <v>517</v>
      </c>
      <c r="L89" s="3">
        <v>258</v>
      </c>
      <c r="M89" s="3">
        <v>775</v>
      </c>
      <c r="N89" s="4">
        <v>0.67</v>
      </c>
      <c r="O89" s="3">
        <v>25</v>
      </c>
      <c r="P89" s="3"/>
      <c r="Q89" s="3">
        <v>17</v>
      </c>
      <c r="R89" s="3">
        <v>25</v>
      </c>
      <c r="S89" s="5">
        <v>3.7</v>
      </c>
      <c r="T89" s="5">
        <v>3.7</v>
      </c>
      <c r="U89" s="4">
        <v>0.74</v>
      </c>
      <c r="V89" s="4">
        <v>0.67</v>
      </c>
      <c r="W89" s="4">
        <v>0.96</v>
      </c>
      <c r="X89" s="4">
        <v>0</v>
      </c>
      <c r="Y89" s="4">
        <v>0.68</v>
      </c>
      <c r="Z89" s="4">
        <v>0.33</v>
      </c>
      <c r="AA89" s="3">
        <v>0</v>
      </c>
      <c r="AB89" s="3">
        <v>0</v>
      </c>
      <c r="AC89" s="5">
        <v>0</v>
      </c>
      <c r="AD89" s="4">
        <v>0</v>
      </c>
      <c r="AE89" s="4">
        <v>0</v>
      </c>
      <c r="AF89" s="4">
        <v>0</v>
      </c>
      <c r="AG89" s="4">
        <v>1</v>
      </c>
      <c r="AH89" s="4">
        <v>0.66</v>
      </c>
      <c r="AI89" s="4">
        <v>0.8</v>
      </c>
      <c r="AJ89" t="s">
        <v>72</v>
      </c>
      <c r="AK89" t="s">
        <v>61</v>
      </c>
      <c r="AL89" t="s">
        <v>62</v>
      </c>
      <c r="AM89" t="s">
        <v>63</v>
      </c>
      <c r="AN89" t="s">
        <v>64</v>
      </c>
      <c r="AO89" t="s">
        <v>79</v>
      </c>
      <c r="AP89" t="s">
        <v>75</v>
      </c>
    </row>
    <row r="90" spans="1:42" x14ac:dyDescent="0.25">
      <c r="A90" t="str">
        <f>HYPERLINK("HTTP://10.0.1.74/krs/215/detail","/krs/215")</f>
        <v>/krs/215</v>
      </c>
      <c r="B90">
        <v>215</v>
      </c>
      <c r="C90" t="s">
        <v>46</v>
      </c>
      <c r="D90" t="s">
        <v>47</v>
      </c>
      <c r="E90" t="s">
        <v>87</v>
      </c>
      <c r="F90" t="s">
        <v>116</v>
      </c>
      <c r="G90" s="1">
        <v>42984</v>
      </c>
      <c r="H90" t="s">
        <v>187</v>
      </c>
      <c r="I90" t="s">
        <v>51</v>
      </c>
      <c r="K90" s="3">
        <v>816</v>
      </c>
      <c r="L90" s="3">
        <v>305</v>
      </c>
      <c r="M90" s="3">
        <v>1121</v>
      </c>
      <c r="N90" s="4">
        <v>0.73</v>
      </c>
      <c r="O90" s="3">
        <v>19</v>
      </c>
      <c r="P90" s="3"/>
      <c r="Q90" s="3">
        <v>14</v>
      </c>
      <c r="R90" s="3">
        <v>19</v>
      </c>
      <c r="S90" s="5">
        <v>3.9</v>
      </c>
      <c r="T90" s="5">
        <v>3.7</v>
      </c>
      <c r="U90" s="4">
        <v>0.75</v>
      </c>
      <c r="V90" s="4">
        <v>0.73</v>
      </c>
      <c r="W90" s="4">
        <v>0.79</v>
      </c>
      <c r="X90" s="4">
        <v>0.95</v>
      </c>
      <c r="Y90" s="4">
        <v>0.74</v>
      </c>
      <c r="Z90" s="4">
        <v>0.27</v>
      </c>
      <c r="AA90" s="3">
        <v>19</v>
      </c>
      <c r="AB90" s="3">
        <v>13</v>
      </c>
      <c r="AC90" s="5">
        <v>3.9</v>
      </c>
      <c r="AD90" s="4">
        <v>0.95</v>
      </c>
      <c r="AE90" s="4">
        <v>0.77</v>
      </c>
      <c r="AF90" s="4">
        <v>0.68</v>
      </c>
      <c r="AG90" s="4">
        <v>0.23</v>
      </c>
      <c r="AH90" s="4">
        <v>0.86</v>
      </c>
      <c r="AI90" s="4">
        <v>0.74</v>
      </c>
      <c r="AJ90" t="s">
        <v>72</v>
      </c>
      <c r="AK90" t="s">
        <v>62</v>
      </c>
      <c r="AL90" t="s">
        <v>62</v>
      </c>
      <c r="AM90" t="s">
        <v>63</v>
      </c>
      <c r="AN90" t="s">
        <v>97</v>
      </c>
      <c r="AO90" t="s">
        <v>79</v>
      </c>
      <c r="AP90" t="s">
        <v>66</v>
      </c>
    </row>
    <row r="91" spans="1:42" x14ac:dyDescent="0.25">
      <c r="A91" t="str">
        <f>HYPERLINK("HTTP://10.0.1.74/krs/216/detail","/krs/216")</f>
        <v>/krs/216</v>
      </c>
      <c r="B91">
        <v>216</v>
      </c>
      <c r="C91" t="s">
        <v>53</v>
      </c>
      <c r="D91" t="s">
        <v>47</v>
      </c>
      <c r="E91" t="s">
        <v>94</v>
      </c>
      <c r="F91" t="s">
        <v>112</v>
      </c>
      <c r="G91" s="1">
        <v>42992.850810185184</v>
      </c>
      <c r="H91" t="s">
        <v>96</v>
      </c>
      <c r="J91" t="s">
        <v>52</v>
      </c>
      <c r="K91" s="3">
        <v>163</v>
      </c>
      <c r="L91" s="3">
        <v>123</v>
      </c>
      <c r="M91" s="3">
        <v>286</v>
      </c>
      <c r="N91" s="4">
        <v>0.56999999999999995</v>
      </c>
      <c r="O91" s="3">
        <v>26</v>
      </c>
      <c r="P91" s="3"/>
      <c r="Q91" s="3">
        <v>9</v>
      </c>
      <c r="R91" s="3">
        <v>26</v>
      </c>
      <c r="S91" s="5">
        <v>3.3</v>
      </c>
      <c r="T91" s="5">
        <v>3.3</v>
      </c>
      <c r="U91" s="4">
        <v>0.66</v>
      </c>
      <c r="V91" s="4">
        <v>0.56999999999999995</v>
      </c>
      <c r="W91" s="4">
        <v>0.92</v>
      </c>
      <c r="X91" s="4">
        <v>0.86</v>
      </c>
      <c r="Y91" s="4">
        <v>0.35</v>
      </c>
      <c r="Z91" s="4">
        <v>0.43</v>
      </c>
      <c r="AA91" s="3">
        <v>26</v>
      </c>
      <c r="AB91" s="3">
        <v>4</v>
      </c>
      <c r="AC91" s="5">
        <v>3.3</v>
      </c>
      <c r="AD91" s="4">
        <v>0.73</v>
      </c>
      <c r="AE91" s="4">
        <v>0.66</v>
      </c>
      <c r="AF91" s="4">
        <v>0.15</v>
      </c>
      <c r="AG91" s="4">
        <v>0.34</v>
      </c>
      <c r="AH91" s="4">
        <v>0.63</v>
      </c>
      <c r="AI91" s="4">
        <v>0</v>
      </c>
      <c r="AJ91" t="s">
        <v>72</v>
      </c>
      <c r="AK91" t="s">
        <v>86</v>
      </c>
      <c r="AL91" t="s">
        <v>62</v>
      </c>
      <c r="AM91" t="s">
        <v>104</v>
      </c>
      <c r="AN91" t="s">
        <v>64</v>
      </c>
      <c r="AO91" t="s">
        <v>65</v>
      </c>
      <c r="AP91" t="s">
        <v>75</v>
      </c>
    </row>
    <row r="92" spans="1:42" x14ac:dyDescent="0.25">
      <c r="A92" t="str">
        <f>HYPERLINK("HTTP://10.0.1.74/krs/218/detail","/krs/218")</f>
        <v>/krs/218</v>
      </c>
      <c r="B92">
        <v>218</v>
      </c>
      <c r="C92" t="s">
        <v>46</v>
      </c>
      <c r="D92" t="s">
        <v>47</v>
      </c>
      <c r="E92" t="s">
        <v>98</v>
      </c>
      <c r="F92" t="s">
        <v>115</v>
      </c>
      <c r="G92" s="1">
        <v>42989</v>
      </c>
      <c r="H92" t="s">
        <v>190</v>
      </c>
      <c r="I92" t="s">
        <v>51</v>
      </c>
      <c r="K92" s="3">
        <v>123</v>
      </c>
      <c r="L92" s="3">
        <v>42</v>
      </c>
      <c r="M92" s="3">
        <v>165</v>
      </c>
      <c r="N92" s="4">
        <v>0.75</v>
      </c>
      <c r="O92" s="3">
        <v>11</v>
      </c>
      <c r="P92" s="3"/>
      <c r="Q92" s="3">
        <v>8</v>
      </c>
      <c r="R92" s="3">
        <v>11</v>
      </c>
      <c r="S92" s="5">
        <v>4</v>
      </c>
      <c r="T92" s="5">
        <v>4</v>
      </c>
      <c r="U92" s="4">
        <v>0.8</v>
      </c>
      <c r="V92" s="4">
        <v>0.75</v>
      </c>
      <c r="W92" s="4">
        <v>1</v>
      </c>
      <c r="X92" s="4">
        <v>1</v>
      </c>
      <c r="Y92" s="4">
        <v>0.73</v>
      </c>
      <c r="Z92" s="4">
        <v>0.25</v>
      </c>
      <c r="AA92" s="3">
        <v>11</v>
      </c>
      <c r="AB92" s="3">
        <v>5</v>
      </c>
      <c r="AC92" s="5">
        <v>3.8</v>
      </c>
      <c r="AD92" s="4">
        <v>0.91</v>
      </c>
      <c r="AE92" s="4">
        <v>0.75</v>
      </c>
      <c r="AF92" s="4">
        <v>0.45</v>
      </c>
      <c r="AG92" s="4">
        <v>0.25</v>
      </c>
      <c r="AH92" s="4">
        <v>0.74</v>
      </c>
      <c r="AI92" s="4">
        <v>0</v>
      </c>
      <c r="AJ92" t="s">
        <v>72</v>
      </c>
      <c r="AK92" t="s">
        <v>62</v>
      </c>
      <c r="AL92" t="s">
        <v>62</v>
      </c>
      <c r="AM92" t="s">
        <v>63</v>
      </c>
      <c r="AN92" t="s">
        <v>64</v>
      </c>
      <c r="AO92" t="s">
        <v>79</v>
      </c>
      <c r="AP92" t="s">
        <v>66</v>
      </c>
    </row>
    <row r="93" spans="1:42" x14ac:dyDescent="0.25">
      <c r="A93" t="str">
        <f>HYPERLINK("HTTP://10.0.1.74/krs/219/detail","/krs/219")</f>
        <v>/krs/219</v>
      </c>
      <c r="B93">
        <v>219</v>
      </c>
      <c r="C93" t="s">
        <v>53</v>
      </c>
      <c r="D93" t="s">
        <v>81</v>
      </c>
      <c r="E93" t="s">
        <v>160</v>
      </c>
      <c r="F93" t="s">
        <v>191</v>
      </c>
      <c r="G93" s="1">
        <v>43011</v>
      </c>
      <c r="H93" t="s">
        <v>56</v>
      </c>
      <c r="I93" t="s">
        <v>57</v>
      </c>
      <c r="J93" t="s">
        <v>192</v>
      </c>
      <c r="K93" s="3">
        <v>0</v>
      </c>
      <c r="L93" s="3">
        <v>675</v>
      </c>
      <c r="M93" s="3">
        <v>675</v>
      </c>
      <c r="N93" s="4">
        <v>0</v>
      </c>
      <c r="O93" s="3">
        <v>25</v>
      </c>
      <c r="P93" s="3"/>
      <c r="Q93" s="3">
        <v>0</v>
      </c>
      <c r="R93" s="3">
        <v>25</v>
      </c>
      <c r="S93" s="5">
        <v>2</v>
      </c>
      <c r="T93" s="5">
        <v>1</v>
      </c>
      <c r="U93" s="4">
        <v>0.2</v>
      </c>
      <c r="V93" s="4">
        <v>0</v>
      </c>
      <c r="W93" s="4">
        <v>0</v>
      </c>
      <c r="X93" s="4">
        <v>0</v>
      </c>
      <c r="Y93" s="4">
        <v>0</v>
      </c>
      <c r="Z93" s="4">
        <v>1</v>
      </c>
      <c r="AA93" s="3">
        <v>25</v>
      </c>
      <c r="AB93" s="3">
        <v>17</v>
      </c>
      <c r="AC93" s="5">
        <v>4</v>
      </c>
      <c r="AD93" s="4">
        <v>1</v>
      </c>
      <c r="AE93" s="4">
        <v>0.8</v>
      </c>
      <c r="AF93" s="4">
        <v>0.68</v>
      </c>
      <c r="AG93" s="4">
        <v>0.2</v>
      </c>
      <c r="AH93" s="4">
        <v>0</v>
      </c>
      <c r="AI93" s="4">
        <v>0</v>
      </c>
      <c r="AJ93" t="s">
        <v>60</v>
      </c>
      <c r="AK93" t="s">
        <v>86</v>
      </c>
      <c r="AL93" t="s">
        <v>86</v>
      </c>
      <c r="AM93" t="s">
        <v>73</v>
      </c>
      <c r="AN93" t="s">
        <v>64</v>
      </c>
      <c r="AO93" t="s">
        <v>74</v>
      </c>
      <c r="AP93" t="s">
        <v>75</v>
      </c>
    </row>
    <row r="94" spans="1:42" x14ac:dyDescent="0.25">
      <c r="A94" t="str">
        <f>HYPERLINK("HTTP://10.0.1.74/krs/220/detail","/krs/220")</f>
        <v>/krs/220</v>
      </c>
      <c r="B94">
        <v>220</v>
      </c>
      <c r="C94" t="s">
        <v>46</v>
      </c>
      <c r="D94" t="s">
        <v>47</v>
      </c>
      <c r="E94" t="s">
        <v>193</v>
      </c>
      <c r="F94" t="s">
        <v>108</v>
      </c>
      <c r="G94" s="1">
        <v>42993</v>
      </c>
      <c r="H94" t="s">
        <v>187</v>
      </c>
      <c r="I94" t="s">
        <v>51</v>
      </c>
      <c r="K94" s="3">
        <v>177</v>
      </c>
      <c r="L94" s="3">
        <v>117</v>
      </c>
      <c r="M94" s="3">
        <v>294</v>
      </c>
      <c r="N94" s="4">
        <v>0.6</v>
      </c>
      <c r="O94" s="3">
        <v>14</v>
      </c>
      <c r="P94" s="3"/>
      <c r="Q94" s="3">
        <v>5</v>
      </c>
      <c r="R94" s="3">
        <v>14</v>
      </c>
      <c r="S94" s="5">
        <v>3.4</v>
      </c>
      <c r="T94" s="5">
        <v>3.4</v>
      </c>
      <c r="U94" s="4">
        <v>0.67</v>
      </c>
      <c r="V94" s="4">
        <v>0.6</v>
      </c>
      <c r="W94" s="4">
        <v>0.93</v>
      </c>
      <c r="X94" s="4">
        <v>0.79</v>
      </c>
      <c r="Y94" s="4">
        <v>0.36</v>
      </c>
      <c r="Z94" s="4">
        <v>0.4</v>
      </c>
      <c r="AA94" s="3">
        <v>14</v>
      </c>
      <c r="AB94" s="3">
        <v>8</v>
      </c>
      <c r="AC94" s="5">
        <v>3.8</v>
      </c>
      <c r="AD94" s="4">
        <v>1</v>
      </c>
      <c r="AE94" s="4">
        <v>0.76</v>
      </c>
      <c r="AF94" s="4">
        <v>0.56999999999999995</v>
      </c>
      <c r="AG94" s="4">
        <v>0.24</v>
      </c>
      <c r="AH94" s="4">
        <v>0.69</v>
      </c>
      <c r="AI94" s="4">
        <v>0.56999999999999995</v>
      </c>
      <c r="AJ94" t="s">
        <v>72</v>
      </c>
      <c r="AK94" t="s">
        <v>61</v>
      </c>
      <c r="AL94" t="s">
        <v>62</v>
      </c>
      <c r="AM94" t="s">
        <v>73</v>
      </c>
      <c r="AN94" t="s">
        <v>64</v>
      </c>
      <c r="AO94" t="s">
        <v>74</v>
      </c>
      <c r="AP94" t="s">
        <v>75</v>
      </c>
    </row>
    <row r="95" spans="1:42" x14ac:dyDescent="0.25">
      <c r="A95" t="str">
        <f>HYPERLINK("HTTP://10.0.1.74/krs/222/detail","/krs/222")</f>
        <v>/krs/222</v>
      </c>
      <c r="B95">
        <v>222</v>
      </c>
      <c r="C95" t="s">
        <v>46</v>
      </c>
      <c r="D95" t="s">
        <v>81</v>
      </c>
      <c r="E95" t="s">
        <v>87</v>
      </c>
      <c r="F95" t="s">
        <v>194</v>
      </c>
      <c r="G95" s="1">
        <v>42989</v>
      </c>
      <c r="H95" t="s">
        <v>187</v>
      </c>
      <c r="I95" t="s">
        <v>51</v>
      </c>
      <c r="K95" s="3">
        <v>714</v>
      </c>
      <c r="L95" s="3">
        <v>366</v>
      </c>
      <c r="M95" s="3">
        <v>1080</v>
      </c>
      <c r="N95" s="4">
        <v>0.66</v>
      </c>
      <c r="O95" s="3">
        <v>40</v>
      </c>
      <c r="P95" s="3"/>
      <c r="Q95" s="3">
        <v>18</v>
      </c>
      <c r="R95" s="3">
        <v>40</v>
      </c>
      <c r="S95" s="5">
        <v>3.6</v>
      </c>
      <c r="T95" s="5">
        <v>3.2</v>
      </c>
      <c r="U95" s="4">
        <v>0.65</v>
      </c>
      <c r="V95" s="4">
        <v>0.66</v>
      </c>
      <c r="W95" s="4">
        <v>0.83</v>
      </c>
      <c r="X95" s="4">
        <v>0.92</v>
      </c>
      <c r="Y95" s="4">
        <v>0.45</v>
      </c>
      <c r="Z95" s="4">
        <v>0.34</v>
      </c>
      <c r="AA95" s="3">
        <v>38</v>
      </c>
      <c r="AB95" s="3">
        <v>14</v>
      </c>
      <c r="AC95" s="5">
        <v>3.6</v>
      </c>
      <c r="AD95" s="4">
        <v>0.97</v>
      </c>
      <c r="AE95" s="4">
        <v>0.72</v>
      </c>
      <c r="AF95" s="4">
        <v>0.37</v>
      </c>
      <c r="AG95" s="4">
        <v>0.28000000000000003</v>
      </c>
      <c r="AH95" s="4">
        <v>0.71</v>
      </c>
      <c r="AI95" s="4">
        <v>0.63</v>
      </c>
      <c r="AJ95" t="s">
        <v>72</v>
      </c>
      <c r="AK95" t="s">
        <v>61</v>
      </c>
      <c r="AL95" t="s">
        <v>62</v>
      </c>
      <c r="AM95" t="s">
        <v>104</v>
      </c>
      <c r="AN95" t="s">
        <v>97</v>
      </c>
      <c r="AO95" t="s">
        <v>65</v>
      </c>
      <c r="AP95" t="s">
        <v>66</v>
      </c>
    </row>
    <row r="96" spans="1:42" x14ac:dyDescent="0.25">
      <c r="A96" t="str">
        <f>HYPERLINK("HTTP://10.0.1.74/krs/223/detail","/krs/223")</f>
        <v>/krs/223</v>
      </c>
      <c r="B96">
        <v>223</v>
      </c>
      <c r="C96" t="s">
        <v>46</v>
      </c>
      <c r="D96" t="s">
        <v>47</v>
      </c>
      <c r="E96" t="s">
        <v>54</v>
      </c>
      <c r="F96" t="s">
        <v>130</v>
      </c>
      <c r="G96" s="1">
        <v>42982</v>
      </c>
      <c r="H96" t="s">
        <v>117</v>
      </c>
      <c r="I96" t="s">
        <v>51</v>
      </c>
      <c r="K96" s="3"/>
      <c r="L96" s="3"/>
      <c r="M96" s="3"/>
      <c r="N96" s="4"/>
      <c r="O96" s="3"/>
      <c r="P96" s="3"/>
      <c r="Q96" s="3"/>
      <c r="R96" s="3"/>
      <c r="S96" s="5"/>
      <c r="T96" s="5"/>
      <c r="U96" s="4"/>
      <c r="V96" s="4"/>
      <c r="W96" s="4"/>
      <c r="X96" s="4"/>
      <c r="Y96" s="4"/>
      <c r="Z96" s="4"/>
      <c r="AA96" s="3"/>
      <c r="AB96" s="3"/>
      <c r="AC96" s="5"/>
      <c r="AD96" s="4"/>
      <c r="AE96" s="4"/>
      <c r="AF96" s="4"/>
      <c r="AG96" s="4"/>
      <c r="AH96" s="4"/>
      <c r="AI96" s="4"/>
      <c r="AJ96" t="s">
        <v>52</v>
      </c>
      <c r="AK96" t="s">
        <v>52</v>
      </c>
      <c r="AL96" t="s">
        <v>52</v>
      </c>
      <c r="AM96" t="s">
        <v>52</v>
      </c>
      <c r="AN96" t="s">
        <v>52</v>
      </c>
      <c r="AO96" t="s">
        <v>52</v>
      </c>
      <c r="AP96" t="s">
        <v>52</v>
      </c>
    </row>
    <row r="97" spans="1:42" x14ac:dyDescent="0.25">
      <c r="A97" t="str">
        <f>HYPERLINK("HTTP://10.0.1.74/krs/224/detail","/krs/224")</f>
        <v>/krs/224</v>
      </c>
      <c r="B97">
        <v>224</v>
      </c>
      <c r="C97" t="s">
        <v>46</v>
      </c>
      <c r="D97" t="s">
        <v>47</v>
      </c>
      <c r="E97" t="s">
        <v>98</v>
      </c>
      <c r="F97" t="s">
        <v>136</v>
      </c>
      <c r="G97" s="1">
        <v>42989</v>
      </c>
      <c r="H97" t="s">
        <v>190</v>
      </c>
      <c r="I97" t="s">
        <v>51</v>
      </c>
      <c r="K97" s="3">
        <v>99</v>
      </c>
      <c r="L97" s="3">
        <v>45</v>
      </c>
      <c r="M97" s="3">
        <v>144</v>
      </c>
      <c r="N97" s="4">
        <v>0.69</v>
      </c>
      <c r="O97" s="3">
        <v>12</v>
      </c>
      <c r="P97" s="3"/>
      <c r="Q97" s="3">
        <v>8</v>
      </c>
      <c r="R97" s="3">
        <v>12</v>
      </c>
      <c r="S97" s="5">
        <v>3.7</v>
      </c>
      <c r="T97" s="5">
        <v>3.7</v>
      </c>
      <c r="U97" s="4">
        <v>0.73</v>
      </c>
      <c r="V97" s="4">
        <v>0.69</v>
      </c>
      <c r="W97" s="4">
        <v>0.92</v>
      </c>
      <c r="X97" s="4">
        <v>0.95</v>
      </c>
      <c r="Y97" s="4">
        <v>0.67</v>
      </c>
      <c r="Z97" s="4">
        <v>0.31</v>
      </c>
      <c r="AA97" s="3">
        <v>12</v>
      </c>
      <c r="AB97" s="3">
        <v>6</v>
      </c>
      <c r="AC97" s="5">
        <v>3.7</v>
      </c>
      <c r="AD97" s="4">
        <v>0.92</v>
      </c>
      <c r="AE97" s="4">
        <v>0.73</v>
      </c>
      <c r="AF97" s="4">
        <v>0.5</v>
      </c>
      <c r="AG97" s="4">
        <v>0.27</v>
      </c>
      <c r="AH97" s="4">
        <v>0.7</v>
      </c>
      <c r="AI97" s="4">
        <v>0</v>
      </c>
      <c r="AJ97" t="s">
        <v>72</v>
      </c>
      <c r="AK97" t="s">
        <v>61</v>
      </c>
      <c r="AL97" t="s">
        <v>62</v>
      </c>
      <c r="AM97" t="s">
        <v>63</v>
      </c>
      <c r="AN97" t="s">
        <v>64</v>
      </c>
      <c r="AO97" t="s">
        <v>79</v>
      </c>
      <c r="AP97" t="s">
        <v>66</v>
      </c>
    </row>
    <row r="98" spans="1:42" x14ac:dyDescent="0.25">
      <c r="A98" t="str">
        <f>HYPERLINK("HTTP://10.0.1.74/krs/225/detail","/krs/225")</f>
        <v>/krs/225</v>
      </c>
      <c r="B98">
        <v>225</v>
      </c>
      <c r="C98" t="s">
        <v>46</v>
      </c>
      <c r="D98" t="s">
        <v>47</v>
      </c>
      <c r="E98" t="s">
        <v>98</v>
      </c>
      <c r="F98" t="s">
        <v>195</v>
      </c>
      <c r="G98" s="1">
        <v>42990</v>
      </c>
      <c r="H98" t="s">
        <v>190</v>
      </c>
      <c r="I98" t="s">
        <v>51</v>
      </c>
      <c r="K98" s="3">
        <v>157</v>
      </c>
      <c r="L98" s="3">
        <v>419</v>
      </c>
      <c r="M98" s="3">
        <v>576</v>
      </c>
      <c r="N98" s="4">
        <v>0.27</v>
      </c>
      <c r="O98" s="3">
        <v>48</v>
      </c>
      <c r="P98" s="3"/>
      <c r="Q98" s="3">
        <v>12</v>
      </c>
      <c r="R98" s="3">
        <v>48</v>
      </c>
      <c r="S98" s="5">
        <v>2.7</v>
      </c>
      <c r="T98" s="5">
        <v>2.1</v>
      </c>
      <c r="U98" s="4">
        <v>0.41</v>
      </c>
      <c r="V98" s="4">
        <v>0.27</v>
      </c>
      <c r="W98" s="4">
        <v>0.38</v>
      </c>
      <c r="X98" s="4">
        <v>0.36</v>
      </c>
      <c r="Y98" s="4">
        <v>0.25</v>
      </c>
      <c r="Z98" s="4">
        <v>0.73</v>
      </c>
      <c r="AA98" s="3">
        <v>19</v>
      </c>
      <c r="AB98" s="3">
        <v>10</v>
      </c>
      <c r="AC98" s="5">
        <v>3.8</v>
      </c>
      <c r="AD98" s="4">
        <v>0.95</v>
      </c>
      <c r="AE98" s="4">
        <v>0.76</v>
      </c>
      <c r="AF98" s="4">
        <v>0.53</v>
      </c>
      <c r="AG98" s="4">
        <v>0.24</v>
      </c>
      <c r="AH98" s="4">
        <v>0.28000000000000003</v>
      </c>
      <c r="AI98" s="4">
        <v>0</v>
      </c>
      <c r="AJ98" t="s">
        <v>60</v>
      </c>
      <c r="AK98" t="s">
        <v>86</v>
      </c>
      <c r="AL98" t="s">
        <v>86</v>
      </c>
      <c r="AM98" t="s">
        <v>73</v>
      </c>
      <c r="AN98" t="s">
        <v>64</v>
      </c>
      <c r="AO98" t="s">
        <v>74</v>
      </c>
      <c r="AP98" t="s">
        <v>75</v>
      </c>
    </row>
    <row r="99" spans="1:42" x14ac:dyDescent="0.25">
      <c r="A99" t="str">
        <f>HYPERLINK("HTTP://10.0.1.74/krs/226/detail","/krs/226")</f>
        <v>/krs/226</v>
      </c>
      <c r="B99">
        <v>226</v>
      </c>
      <c r="C99" t="s">
        <v>46</v>
      </c>
      <c r="D99" t="s">
        <v>47</v>
      </c>
      <c r="E99" t="s">
        <v>87</v>
      </c>
      <c r="F99" t="s">
        <v>196</v>
      </c>
      <c r="G99" s="1">
        <v>42994</v>
      </c>
      <c r="H99" t="s">
        <v>187</v>
      </c>
      <c r="I99" t="s">
        <v>51</v>
      </c>
      <c r="K99" s="3">
        <v>795</v>
      </c>
      <c r="L99" s="3">
        <v>375</v>
      </c>
      <c r="M99" s="3">
        <v>1170</v>
      </c>
      <c r="N99" s="4">
        <v>0.68</v>
      </c>
      <c r="O99" s="3">
        <v>45</v>
      </c>
      <c r="P99" s="3"/>
      <c r="Q99" s="3">
        <v>18</v>
      </c>
      <c r="R99" s="3">
        <v>45</v>
      </c>
      <c r="S99" s="5">
        <v>3.7</v>
      </c>
      <c r="T99" s="5">
        <v>3.2</v>
      </c>
      <c r="U99" s="4">
        <v>0.64</v>
      </c>
      <c r="V99" s="4">
        <v>0.68</v>
      </c>
      <c r="W99" s="4">
        <v>0.82</v>
      </c>
      <c r="X99" s="4">
        <v>0.97</v>
      </c>
      <c r="Y99" s="4">
        <v>0.4</v>
      </c>
      <c r="Z99" s="4">
        <v>0.32</v>
      </c>
      <c r="AA99" s="3">
        <v>43</v>
      </c>
      <c r="AB99" s="3">
        <v>16</v>
      </c>
      <c r="AC99" s="5">
        <v>3.5</v>
      </c>
      <c r="AD99" s="4">
        <v>0.86</v>
      </c>
      <c r="AE99" s="4">
        <v>0.7</v>
      </c>
      <c r="AF99" s="4">
        <v>0.37</v>
      </c>
      <c r="AG99" s="4">
        <v>0.3</v>
      </c>
      <c r="AH99" s="4">
        <v>0.73</v>
      </c>
      <c r="AI99" s="4">
        <v>0.57999999999999996</v>
      </c>
      <c r="AJ99" t="s">
        <v>72</v>
      </c>
      <c r="AK99" t="s">
        <v>61</v>
      </c>
      <c r="AL99" t="s">
        <v>62</v>
      </c>
      <c r="AM99" t="s">
        <v>63</v>
      </c>
      <c r="AN99" t="s">
        <v>97</v>
      </c>
      <c r="AO99" t="s">
        <v>79</v>
      </c>
      <c r="AP99" t="s">
        <v>66</v>
      </c>
    </row>
    <row r="100" spans="1:42" x14ac:dyDescent="0.25">
      <c r="A100" t="str">
        <f>HYPERLINK("HTTP://10.0.1.74/krs/229/detail","/krs/229")</f>
        <v>/krs/229</v>
      </c>
      <c r="B100">
        <v>229</v>
      </c>
      <c r="C100" t="s">
        <v>46</v>
      </c>
      <c r="D100" t="s">
        <v>81</v>
      </c>
      <c r="E100" t="s">
        <v>68</v>
      </c>
      <c r="F100" t="s">
        <v>69</v>
      </c>
      <c r="G100" s="1">
        <v>43015.682245370372</v>
      </c>
      <c r="H100" t="s">
        <v>70</v>
      </c>
      <c r="I100" t="s">
        <v>51</v>
      </c>
      <c r="J100" t="s">
        <v>197</v>
      </c>
      <c r="K100" s="3">
        <v>7</v>
      </c>
      <c r="L100" s="3">
        <v>279</v>
      </c>
      <c r="M100" s="3">
        <v>286</v>
      </c>
      <c r="N100" s="4">
        <v>0.02</v>
      </c>
      <c r="O100" s="3">
        <v>26</v>
      </c>
      <c r="P100" s="3"/>
      <c r="Q100" s="3">
        <v>0</v>
      </c>
      <c r="R100" s="3">
        <v>26</v>
      </c>
      <c r="S100" s="5">
        <v>2</v>
      </c>
      <c r="T100" s="5">
        <v>1.1000000000000001</v>
      </c>
      <c r="U100" s="4">
        <v>0.22</v>
      </c>
      <c r="V100" s="4">
        <v>0.02</v>
      </c>
      <c r="W100" s="4">
        <v>0</v>
      </c>
      <c r="X100" s="4">
        <v>0</v>
      </c>
      <c r="Y100" s="4">
        <v>0</v>
      </c>
      <c r="Z100" s="4">
        <v>0.98</v>
      </c>
      <c r="AA100" s="3">
        <v>0</v>
      </c>
      <c r="AB100" s="3">
        <v>0</v>
      </c>
      <c r="AC100" s="5">
        <v>0</v>
      </c>
      <c r="AD100" s="4">
        <v>0</v>
      </c>
      <c r="AE100" s="4">
        <v>0</v>
      </c>
      <c r="AF100" s="4">
        <v>0</v>
      </c>
      <c r="AG100" s="4">
        <v>1</v>
      </c>
      <c r="AH100" s="4">
        <v>0.03</v>
      </c>
      <c r="AI100" s="4">
        <v>0</v>
      </c>
      <c r="AJ100" t="s">
        <v>60</v>
      </c>
      <c r="AK100" t="s">
        <v>86</v>
      </c>
      <c r="AL100" t="s">
        <v>86</v>
      </c>
      <c r="AM100" t="s">
        <v>63</v>
      </c>
      <c r="AN100" t="s">
        <v>97</v>
      </c>
      <c r="AO100" t="s">
        <v>79</v>
      </c>
      <c r="AP100" t="s">
        <v>75</v>
      </c>
    </row>
    <row r="101" spans="1:42" x14ac:dyDescent="0.25">
      <c r="A101" t="str">
        <f>HYPERLINK("HTTP://10.0.1.74/krs/230/detail","/krs/230")</f>
        <v>/krs/230</v>
      </c>
      <c r="B101">
        <v>230</v>
      </c>
      <c r="C101" t="s">
        <v>83</v>
      </c>
      <c r="D101" t="s">
        <v>81</v>
      </c>
      <c r="E101" t="s">
        <v>98</v>
      </c>
      <c r="F101" t="s">
        <v>162</v>
      </c>
      <c r="G101" s="1">
        <v>43006</v>
      </c>
      <c r="H101" t="s">
        <v>190</v>
      </c>
      <c r="I101" t="s">
        <v>51</v>
      </c>
      <c r="K101" s="3">
        <v>281</v>
      </c>
      <c r="L101" s="3">
        <v>115</v>
      </c>
      <c r="M101" s="3">
        <v>396</v>
      </c>
      <c r="N101" s="4">
        <v>0.71</v>
      </c>
      <c r="O101" s="3">
        <v>11</v>
      </c>
      <c r="P101" s="3"/>
      <c r="Q101" s="3">
        <v>9</v>
      </c>
      <c r="R101" s="3">
        <v>11</v>
      </c>
      <c r="S101" s="5">
        <v>3.8</v>
      </c>
      <c r="T101" s="5">
        <v>4</v>
      </c>
      <c r="U101" s="4">
        <v>0.8</v>
      </c>
      <c r="V101" s="4">
        <v>0.71</v>
      </c>
      <c r="W101" s="4">
        <v>1</v>
      </c>
      <c r="X101" s="4">
        <v>0.9</v>
      </c>
      <c r="Y101" s="4">
        <v>0.82</v>
      </c>
      <c r="Z101" s="4">
        <v>0.28999999999999998</v>
      </c>
      <c r="AA101" s="3">
        <v>11</v>
      </c>
      <c r="AB101" s="3">
        <v>6</v>
      </c>
      <c r="AC101" s="5">
        <v>4</v>
      </c>
      <c r="AD101" s="4">
        <v>0.91</v>
      </c>
      <c r="AE101" s="4">
        <v>0.79</v>
      </c>
      <c r="AF101" s="4">
        <v>0.55000000000000004</v>
      </c>
      <c r="AG101" s="4">
        <v>0.21</v>
      </c>
      <c r="AH101" s="4">
        <v>0.74</v>
      </c>
      <c r="AI101" s="4">
        <v>0</v>
      </c>
      <c r="AJ101" t="s">
        <v>72</v>
      </c>
      <c r="AK101" t="s">
        <v>62</v>
      </c>
      <c r="AL101" t="s">
        <v>62</v>
      </c>
      <c r="AM101" t="s">
        <v>104</v>
      </c>
      <c r="AN101" t="s">
        <v>64</v>
      </c>
      <c r="AO101" t="s">
        <v>65</v>
      </c>
      <c r="AP101" t="s">
        <v>75</v>
      </c>
    </row>
    <row r="102" spans="1:42" x14ac:dyDescent="0.25">
      <c r="A102" t="str">
        <f>HYPERLINK("HTTP://10.0.1.74/krs/231/detail","/krs/231")</f>
        <v>/krs/231</v>
      </c>
      <c r="B102">
        <v>231</v>
      </c>
      <c r="C102" t="s">
        <v>46</v>
      </c>
      <c r="D102" t="s">
        <v>47</v>
      </c>
      <c r="E102" t="s">
        <v>193</v>
      </c>
      <c r="F102" t="s">
        <v>116</v>
      </c>
      <c r="G102" s="1">
        <v>42993</v>
      </c>
      <c r="H102" t="s">
        <v>187</v>
      </c>
      <c r="I102" t="s">
        <v>51</v>
      </c>
      <c r="K102" s="3">
        <v>582</v>
      </c>
      <c r="L102" s="3">
        <v>132</v>
      </c>
      <c r="M102" s="3">
        <v>714</v>
      </c>
      <c r="N102" s="4">
        <v>0.82</v>
      </c>
      <c r="O102" s="3">
        <v>21</v>
      </c>
      <c r="P102" s="3"/>
      <c r="Q102" s="3">
        <v>16</v>
      </c>
      <c r="R102" s="3">
        <v>21</v>
      </c>
      <c r="S102" s="5">
        <v>4.3</v>
      </c>
      <c r="T102" s="5">
        <v>4.0999999999999996</v>
      </c>
      <c r="U102" s="4">
        <v>0.82</v>
      </c>
      <c r="V102" s="4">
        <v>0.82</v>
      </c>
      <c r="W102" s="4">
        <v>1</v>
      </c>
      <c r="X102" s="4">
        <v>1</v>
      </c>
      <c r="Y102" s="4">
        <v>0.76</v>
      </c>
      <c r="Z102" s="4">
        <v>0.18</v>
      </c>
      <c r="AA102" s="3">
        <v>21</v>
      </c>
      <c r="AB102" s="3">
        <v>16</v>
      </c>
      <c r="AC102" s="5">
        <v>4.0999999999999996</v>
      </c>
      <c r="AD102" s="4">
        <v>1</v>
      </c>
      <c r="AE102" s="4">
        <v>0.82</v>
      </c>
      <c r="AF102" s="4">
        <v>0.76</v>
      </c>
      <c r="AG102" s="4">
        <v>0.18</v>
      </c>
      <c r="AH102" s="4">
        <v>0.92</v>
      </c>
      <c r="AI102" s="4">
        <v>0.74</v>
      </c>
      <c r="AJ102" t="s">
        <v>72</v>
      </c>
      <c r="AK102" t="s">
        <v>62</v>
      </c>
      <c r="AL102" t="s">
        <v>62</v>
      </c>
      <c r="AM102" t="s">
        <v>63</v>
      </c>
      <c r="AN102" t="s">
        <v>97</v>
      </c>
      <c r="AO102" t="s">
        <v>79</v>
      </c>
      <c r="AP102" t="s">
        <v>66</v>
      </c>
    </row>
    <row r="103" spans="1:42" x14ac:dyDescent="0.25">
      <c r="A103" t="str">
        <f>HYPERLINK("HTTP://10.0.1.74/krs/232/detail","/krs/232")</f>
        <v>/krs/232</v>
      </c>
      <c r="B103">
        <v>232</v>
      </c>
      <c r="C103" t="s">
        <v>46</v>
      </c>
      <c r="D103" t="s">
        <v>81</v>
      </c>
      <c r="E103" t="s">
        <v>68</v>
      </c>
      <c r="F103" t="s">
        <v>126</v>
      </c>
      <c r="G103" s="1">
        <v>43017.359340277777</v>
      </c>
      <c r="H103" t="s">
        <v>70</v>
      </c>
      <c r="I103" t="s">
        <v>51</v>
      </c>
      <c r="J103" t="s">
        <v>198</v>
      </c>
      <c r="K103" s="3">
        <v>0</v>
      </c>
      <c r="L103" s="3">
        <v>636</v>
      </c>
      <c r="M103" s="3">
        <v>636</v>
      </c>
      <c r="N103" s="4">
        <v>0</v>
      </c>
      <c r="O103" s="3">
        <v>53</v>
      </c>
      <c r="P103" s="3"/>
      <c r="Q103" s="3">
        <v>0</v>
      </c>
      <c r="R103" s="3">
        <v>53</v>
      </c>
      <c r="S103" s="5">
        <v>2</v>
      </c>
      <c r="T103" s="5">
        <v>1</v>
      </c>
      <c r="U103" s="4">
        <v>0.2</v>
      </c>
      <c r="V103" s="4">
        <v>0</v>
      </c>
      <c r="W103" s="4">
        <v>0</v>
      </c>
      <c r="X103" s="4">
        <v>0</v>
      </c>
      <c r="Y103" s="4">
        <v>0</v>
      </c>
      <c r="Z103" s="4">
        <v>1</v>
      </c>
      <c r="AA103" s="3">
        <v>0</v>
      </c>
      <c r="AB103" s="3">
        <v>0</v>
      </c>
      <c r="AC103" s="5">
        <v>0</v>
      </c>
      <c r="AD103" s="4">
        <v>0</v>
      </c>
      <c r="AE103" s="4">
        <v>0</v>
      </c>
      <c r="AF103" s="4">
        <v>0</v>
      </c>
      <c r="AG103" s="4">
        <v>1</v>
      </c>
      <c r="AH103" s="4">
        <v>0</v>
      </c>
      <c r="AI103" s="4">
        <v>0</v>
      </c>
      <c r="AJ103" t="s">
        <v>60</v>
      </c>
      <c r="AK103" t="s">
        <v>86</v>
      </c>
      <c r="AL103" t="s">
        <v>86</v>
      </c>
      <c r="AM103" t="s">
        <v>63</v>
      </c>
      <c r="AN103" t="s">
        <v>97</v>
      </c>
      <c r="AO103" t="s">
        <v>79</v>
      </c>
      <c r="AP103" t="s">
        <v>75</v>
      </c>
    </row>
    <row r="104" spans="1:42" x14ac:dyDescent="0.25">
      <c r="A104" t="str">
        <f>HYPERLINK("HTTP://10.0.1.74/krs/233/detail","/krs/233")</f>
        <v>/krs/233</v>
      </c>
      <c r="B104">
        <v>233</v>
      </c>
      <c r="C104" t="s">
        <v>155</v>
      </c>
      <c r="D104" t="s">
        <v>47</v>
      </c>
      <c r="E104" t="s">
        <v>98</v>
      </c>
      <c r="F104" t="s">
        <v>199</v>
      </c>
      <c r="G104" s="1">
        <v>42990</v>
      </c>
      <c r="H104" t="s">
        <v>174</v>
      </c>
      <c r="I104" t="s">
        <v>51</v>
      </c>
      <c r="K104" s="3">
        <v>486</v>
      </c>
      <c r="L104" s="3">
        <v>365</v>
      </c>
      <c r="M104" s="3">
        <v>851</v>
      </c>
      <c r="N104" s="4">
        <v>0.56999999999999995</v>
      </c>
      <c r="O104" s="3">
        <v>37</v>
      </c>
      <c r="P104" s="3"/>
      <c r="Q104" s="3">
        <v>15</v>
      </c>
      <c r="R104" s="3">
        <v>37</v>
      </c>
      <c r="S104" s="5">
        <v>3.3</v>
      </c>
      <c r="T104" s="5">
        <v>3.3</v>
      </c>
      <c r="U104" s="4">
        <v>0.66</v>
      </c>
      <c r="V104" s="4">
        <v>0.56999999999999995</v>
      </c>
      <c r="W104" s="4">
        <v>0.86</v>
      </c>
      <c r="X104" s="4">
        <v>0.76</v>
      </c>
      <c r="Y104" s="4">
        <v>0.41</v>
      </c>
      <c r="Z104" s="4">
        <v>0.43</v>
      </c>
      <c r="AA104" s="3">
        <v>35</v>
      </c>
      <c r="AB104" s="3">
        <v>19</v>
      </c>
      <c r="AC104" s="5">
        <v>3.7</v>
      </c>
      <c r="AD104" s="4">
        <v>0.8</v>
      </c>
      <c r="AE104" s="4">
        <v>0.75</v>
      </c>
      <c r="AF104" s="4">
        <v>0.54</v>
      </c>
      <c r="AG104" s="4">
        <v>0.25</v>
      </c>
      <c r="AH104" s="4">
        <v>0.62</v>
      </c>
      <c r="AI104" s="4">
        <v>0</v>
      </c>
      <c r="AJ104" t="s">
        <v>72</v>
      </c>
      <c r="AK104" t="s">
        <v>86</v>
      </c>
      <c r="AL104" t="s">
        <v>62</v>
      </c>
      <c r="AM104" t="s">
        <v>73</v>
      </c>
      <c r="AN104" t="s">
        <v>64</v>
      </c>
      <c r="AO104" t="s">
        <v>74</v>
      </c>
      <c r="AP104" t="s">
        <v>75</v>
      </c>
    </row>
    <row r="105" spans="1:42" x14ac:dyDescent="0.25">
      <c r="A105" t="str">
        <f>HYPERLINK("HTTP://10.0.1.74/krs/235/detail","/krs/235")</f>
        <v>/krs/235</v>
      </c>
      <c r="B105">
        <v>235</v>
      </c>
      <c r="C105" t="s">
        <v>83</v>
      </c>
      <c r="D105" t="s">
        <v>81</v>
      </c>
      <c r="E105" t="s">
        <v>98</v>
      </c>
      <c r="F105" t="s">
        <v>200</v>
      </c>
      <c r="G105" s="1">
        <v>43018.475753182873</v>
      </c>
      <c r="H105" t="s">
        <v>190</v>
      </c>
      <c r="I105" t="s">
        <v>51</v>
      </c>
      <c r="K105" s="3">
        <v>532</v>
      </c>
      <c r="L105" s="3">
        <v>238</v>
      </c>
      <c r="M105" s="3">
        <v>770</v>
      </c>
      <c r="N105" s="4">
        <v>0.69</v>
      </c>
      <c r="O105" s="3">
        <v>35</v>
      </c>
      <c r="P105" s="3"/>
      <c r="Q105" s="3">
        <v>21</v>
      </c>
      <c r="R105" s="3">
        <v>35</v>
      </c>
      <c r="S105" s="5">
        <v>3.8</v>
      </c>
      <c r="T105" s="5">
        <v>3.7</v>
      </c>
      <c r="U105" s="4">
        <v>0.74</v>
      </c>
      <c r="V105" s="4">
        <v>0.69</v>
      </c>
      <c r="W105" s="4">
        <v>0.89</v>
      </c>
      <c r="X105" s="4">
        <v>0.87</v>
      </c>
      <c r="Y105" s="4">
        <v>0.6</v>
      </c>
      <c r="Z105" s="4">
        <v>0.31</v>
      </c>
      <c r="AA105" s="3">
        <v>35</v>
      </c>
      <c r="AB105" s="3">
        <v>20</v>
      </c>
      <c r="AC105" s="5">
        <v>4</v>
      </c>
      <c r="AD105" s="4">
        <v>1</v>
      </c>
      <c r="AE105" s="4">
        <v>0.79</v>
      </c>
      <c r="AF105" s="4">
        <v>0.56999999999999995</v>
      </c>
      <c r="AG105" s="4">
        <v>0.21</v>
      </c>
      <c r="AH105" s="4">
        <v>0.7</v>
      </c>
      <c r="AI105" s="4">
        <v>0</v>
      </c>
      <c r="AJ105" t="s">
        <v>72</v>
      </c>
      <c r="AK105" t="s">
        <v>61</v>
      </c>
      <c r="AL105" t="s">
        <v>62</v>
      </c>
      <c r="AM105" t="s">
        <v>104</v>
      </c>
      <c r="AN105" t="s">
        <v>97</v>
      </c>
      <c r="AO105" t="s">
        <v>74</v>
      </c>
      <c r="AP105" t="s">
        <v>75</v>
      </c>
    </row>
    <row r="106" spans="1:42" x14ac:dyDescent="0.25">
      <c r="A106" t="str">
        <f>HYPERLINK("HTTP://10.0.1.74/krs/236/detail","/krs/236")</f>
        <v>/krs/236</v>
      </c>
      <c r="B106">
        <v>236</v>
      </c>
      <c r="C106" t="s">
        <v>83</v>
      </c>
      <c r="D106" t="s">
        <v>81</v>
      </c>
      <c r="E106" t="s">
        <v>87</v>
      </c>
      <c r="F106" t="s">
        <v>108</v>
      </c>
      <c r="G106" s="1">
        <v>43011</v>
      </c>
      <c r="H106" t="s">
        <v>187</v>
      </c>
      <c r="I106" t="s">
        <v>51</v>
      </c>
      <c r="K106" s="3">
        <v>357</v>
      </c>
      <c r="L106" s="3">
        <v>137</v>
      </c>
      <c r="M106" s="3">
        <v>494</v>
      </c>
      <c r="N106" s="4">
        <v>0.72</v>
      </c>
      <c r="O106" s="3">
        <v>13</v>
      </c>
      <c r="P106" s="3"/>
      <c r="Q106" s="3">
        <v>10</v>
      </c>
      <c r="R106" s="3">
        <v>13</v>
      </c>
      <c r="S106" s="5">
        <v>3.9</v>
      </c>
      <c r="T106" s="5">
        <v>3.8</v>
      </c>
      <c r="U106" s="4">
        <v>0.75</v>
      </c>
      <c r="V106" s="4">
        <v>0.72</v>
      </c>
      <c r="W106" s="4">
        <v>1</v>
      </c>
      <c r="X106" s="4">
        <v>0.92</v>
      </c>
      <c r="Y106" s="4">
        <v>0.77</v>
      </c>
      <c r="Z106" s="4">
        <v>0.28000000000000003</v>
      </c>
      <c r="AA106" s="3">
        <v>13</v>
      </c>
      <c r="AB106" s="3">
        <v>7</v>
      </c>
      <c r="AC106" s="5">
        <v>3.9</v>
      </c>
      <c r="AD106" s="4">
        <v>1</v>
      </c>
      <c r="AE106" s="4">
        <v>0.78</v>
      </c>
      <c r="AF106" s="4">
        <v>0.54</v>
      </c>
      <c r="AG106" s="4">
        <v>0.22</v>
      </c>
      <c r="AH106" s="4">
        <v>0.76</v>
      </c>
      <c r="AI106" s="4">
        <v>0.69</v>
      </c>
      <c r="AJ106" t="s">
        <v>72</v>
      </c>
      <c r="AK106" t="s">
        <v>62</v>
      </c>
      <c r="AL106" t="s">
        <v>62</v>
      </c>
      <c r="AM106" t="s">
        <v>104</v>
      </c>
      <c r="AN106" t="s">
        <v>64</v>
      </c>
      <c r="AO106" t="s">
        <v>65</v>
      </c>
      <c r="AP106" t="s">
        <v>66</v>
      </c>
    </row>
    <row r="107" spans="1:42" x14ac:dyDescent="0.25">
      <c r="A107" t="str">
        <f>HYPERLINK("HTTP://10.0.1.74/krs/237/detail","/krs/237")</f>
        <v>/krs/237</v>
      </c>
      <c r="B107">
        <v>237</v>
      </c>
      <c r="C107" t="s">
        <v>53</v>
      </c>
      <c r="D107" t="s">
        <v>81</v>
      </c>
      <c r="E107" t="s">
        <v>160</v>
      </c>
      <c r="F107" t="s">
        <v>55</v>
      </c>
      <c r="G107" s="1">
        <v>43019</v>
      </c>
      <c r="H107" t="s">
        <v>56</v>
      </c>
      <c r="I107" t="s">
        <v>57</v>
      </c>
      <c r="J107" t="s">
        <v>201</v>
      </c>
      <c r="K107" s="3">
        <v>125</v>
      </c>
      <c r="L107" s="3">
        <v>113</v>
      </c>
      <c r="M107" s="3">
        <v>238</v>
      </c>
      <c r="N107" s="4">
        <v>0.53</v>
      </c>
      <c r="O107" s="3">
        <v>14</v>
      </c>
      <c r="P107" s="3"/>
      <c r="Q107" s="3">
        <v>5</v>
      </c>
      <c r="R107" s="3">
        <v>14</v>
      </c>
      <c r="S107" s="5">
        <v>3.1</v>
      </c>
      <c r="T107" s="5">
        <v>3.4</v>
      </c>
      <c r="U107" s="4">
        <v>0.67</v>
      </c>
      <c r="V107" s="4">
        <v>0.53</v>
      </c>
      <c r="W107" s="4">
        <v>1</v>
      </c>
      <c r="X107" s="4">
        <v>0.8</v>
      </c>
      <c r="Y107" s="4">
        <v>0.36</v>
      </c>
      <c r="Z107" s="4">
        <v>0.47</v>
      </c>
      <c r="AA107" s="3">
        <v>14</v>
      </c>
      <c r="AB107" s="3">
        <v>4</v>
      </c>
      <c r="AC107" s="5">
        <v>3.4</v>
      </c>
      <c r="AD107" s="4">
        <v>0.93</v>
      </c>
      <c r="AE107" s="4">
        <v>0.67</v>
      </c>
      <c r="AF107" s="4">
        <v>0.28999999999999998</v>
      </c>
      <c r="AG107" s="4">
        <v>0.33</v>
      </c>
      <c r="AH107" s="4">
        <v>0.65</v>
      </c>
      <c r="AI107" s="4">
        <v>0.52</v>
      </c>
      <c r="AJ107" t="s">
        <v>60</v>
      </c>
      <c r="AK107" t="s">
        <v>86</v>
      </c>
      <c r="AL107" t="s">
        <v>62</v>
      </c>
      <c r="AM107" t="s">
        <v>73</v>
      </c>
      <c r="AN107" t="s">
        <v>64</v>
      </c>
      <c r="AO107" t="s">
        <v>74</v>
      </c>
      <c r="AP107" t="s">
        <v>75</v>
      </c>
    </row>
    <row r="108" spans="1:42" x14ac:dyDescent="0.25">
      <c r="A108" t="str">
        <f>HYPERLINK("HTTP://10.0.1.74/krs/238/detail","/krs/238")</f>
        <v>/krs/238</v>
      </c>
      <c r="B108">
        <v>238</v>
      </c>
      <c r="C108" t="s">
        <v>202</v>
      </c>
      <c r="D108" t="s">
        <v>81</v>
      </c>
      <c r="E108" t="s">
        <v>160</v>
      </c>
      <c r="F108" t="s">
        <v>76</v>
      </c>
      <c r="G108" s="1">
        <v>43019</v>
      </c>
      <c r="H108" t="s">
        <v>56</v>
      </c>
      <c r="I108" t="s">
        <v>57</v>
      </c>
      <c r="J108" t="s">
        <v>203</v>
      </c>
      <c r="K108" s="3">
        <v>222</v>
      </c>
      <c r="L108" s="3">
        <v>192</v>
      </c>
      <c r="M108" s="3">
        <v>414</v>
      </c>
      <c r="N108" s="4">
        <v>0.54</v>
      </c>
      <c r="O108" s="3">
        <v>23</v>
      </c>
      <c r="P108" s="3"/>
      <c r="Q108" s="3">
        <v>7</v>
      </c>
      <c r="R108" s="3">
        <v>23</v>
      </c>
      <c r="S108" s="5">
        <v>2.7</v>
      </c>
      <c r="T108" s="5">
        <v>3.3</v>
      </c>
      <c r="U108" s="4">
        <v>0.65</v>
      </c>
      <c r="V108" s="4">
        <v>0.54</v>
      </c>
      <c r="W108" s="4">
        <v>0.87</v>
      </c>
      <c r="X108" s="4">
        <v>0.77</v>
      </c>
      <c r="Y108" s="4">
        <v>0.3</v>
      </c>
      <c r="Z108" s="4">
        <v>0.46</v>
      </c>
      <c r="AA108" s="3">
        <v>21</v>
      </c>
      <c r="AB108" s="3">
        <v>10</v>
      </c>
      <c r="AC108" s="5">
        <v>3.5</v>
      </c>
      <c r="AD108" s="4">
        <v>0.81</v>
      </c>
      <c r="AE108" s="4">
        <v>0.7</v>
      </c>
      <c r="AF108" s="4">
        <v>0.48</v>
      </c>
      <c r="AG108" s="4">
        <v>0.3</v>
      </c>
      <c r="AH108" s="4">
        <v>0.54</v>
      </c>
      <c r="AI108" s="4">
        <v>0.59</v>
      </c>
      <c r="AJ108" t="s">
        <v>60</v>
      </c>
      <c r="AK108" t="s">
        <v>86</v>
      </c>
      <c r="AL108" t="s">
        <v>62</v>
      </c>
      <c r="AM108" t="s">
        <v>73</v>
      </c>
      <c r="AN108" t="s">
        <v>64</v>
      </c>
      <c r="AO108" t="s">
        <v>74</v>
      </c>
      <c r="AP108" t="s">
        <v>75</v>
      </c>
    </row>
    <row r="109" spans="1:42" x14ac:dyDescent="0.25">
      <c r="A109" t="str">
        <f>HYPERLINK("HTTP://10.0.1.74/krs/239/detail","/krs/239")</f>
        <v>/krs/239</v>
      </c>
      <c r="B109">
        <v>239</v>
      </c>
      <c r="C109" t="s">
        <v>204</v>
      </c>
      <c r="D109" t="s">
        <v>81</v>
      </c>
      <c r="E109" t="s">
        <v>54</v>
      </c>
      <c r="F109" t="s">
        <v>76</v>
      </c>
      <c r="G109" s="1">
        <v>43020</v>
      </c>
      <c r="H109" t="s">
        <v>56</v>
      </c>
      <c r="I109" t="s">
        <v>57</v>
      </c>
      <c r="J109" t="s">
        <v>205</v>
      </c>
      <c r="K109" s="3">
        <v>278</v>
      </c>
      <c r="L109" s="3">
        <v>113</v>
      </c>
      <c r="M109" s="3">
        <v>391</v>
      </c>
      <c r="N109" s="4">
        <v>0.71</v>
      </c>
      <c r="O109" s="3">
        <v>23</v>
      </c>
      <c r="P109" s="3"/>
      <c r="Q109" s="3">
        <v>17</v>
      </c>
      <c r="R109" s="3">
        <v>23</v>
      </c>
      <c r="S109" s="5">
        <v>3.5</v>
      </c>
      <c r="T109" s="5">
        <v>3.8</v>
      </c>
      <c r="U109" s="4">
        <v>0.77</v>
      </c>
      <c r="V109" s="4">
        <v>0.71</v>
      </c>
      <c r="W109" s="4">
        <v>0.96</v>
      </c>
      <c r="X109" s="4">
        <v>1.01</v>
      </c>
      <c r="Y109" s="4">
        <v>0.74</v>
      </c>
      <c r="Z109" s="4">
        <v>0.28999999999999998</v>
      </c>
      <c r="AA109" s="3">
        <v>23</v>
      </c>
      <c r="AB109" s="3">
        <v>10</v>
      </c>
      <c r="AC109" s="5">
        <v>3.5</v>
      </c>
      <c r="AD109" s="4">
        <v>0.78</v>
      </c>
      <c r="AE109" s="4">
        <v>0.7</v>
      </c>
      <c r="AF109" s="4">
        <v>0.43</v>
      </c>
      <c r="AG109" s="4">
        <v>0.3</v>
      </c>
      <c r="AH109" s="4">
        <v>0.7</v>
      </c>
      <c r="AI109" s="4">
        <v>0</v>
      </c>
      <c r="AJ109" t="s">
        <v>72</v>
      </c>
      <c r="AK109" t="s">
        <v>62</v>
      </c>
      <c r="AL109" t="s">
        <v>62</v>
      </c>
      <c r="AM109" t="s">
        <v>63</v>
      </c>
      <c r="AN109" t="s">
        <v>64</v>
      </c>
      <c r="AO109" t="s">
        <v>79</v>
      </c>
      <c r="AP109" t="s">
        <v>66</v>
      </c>
    </row>
    <row r="110" spans="1:42" x14ac:dyDescent="0.25">
      <c r="A110" t="str">
        <f>HYPERLINK("HTTP://10.0.1.74/krs/240/detail","/krs/240")</f>
        <v>/krs/240</v>
      </c>
      <c r="B110">
        <v>240</v>
      </c>
      <c r="C110" t="s">
        <v>53</v>
      </c>
      <c r="D110" t="s">
        <v>81</v>
      </c>
      <c r="E110" t="s">
        <v>135</v>
      </c>
      <c r="F110" t="s">
        <v>206</v>
      </c>
      <c r="G110" s="1">
        <v>43018</v>
      </c>
      <c r="H110" t="s">
        <v>137</v>
      </c>
      <c r="I110" t="s">
        <v>57</v>
      </c>
      <c r="K110" s="3">
        <v>1496</v>
      </c>
      <c r="L110" s="3">
        <v>628</v>
      </c>
      <c r="M110" s="3">
        <v>2124</v>
      </c>
      <c r="N110" s="4">
        <v>0.7</v>
      </c>
      <c r="O110" s="3">
        <v>59</v>
      </c>
      <c r="P110" s="3"/>
      <c r="Q110" s="3">
        <v>31</v>
      </c>
      <c r="R110" s="3">
        <v>59</v>
      </c>
      <c r="S110" s="5">
        <v>3.6</v>
      </c>
      <c r="T110" s="5">
        <v>3.6</v>
      </c>
      <c r="U110" s="4">
        <v>0.73</v>
      </c>
      <c r="V110" s="4">
        <v>0.7</v>
      </c>
      <c r="W110" s="4">
        <v>0.9</v>
      </c>
      <c r="X110" s="4">
        <v>0.92</v>
      </c>
      <c r="Y110" s="4">
        <v>0.53</v>
      </c>
      <c r="Z110" s="4">
        <v>0.3</v>
      </c>
      <c r="AA110" s="3">
        <v>59</v>
      </c>
      <c r="AB110" s="3">
        <v>32</v>
      </c>
      <c r="AC110" s="5">
        <v>3.8</v>
      </c>
      <c r="AD110" s="4">
        <v>0.88</v>
      </c>
      <c r="AE110" s="4">
        <v>0.76</v>
      </c>
      <c r="AF110" s="4">
        <v>0.54</v>
      </c>
      <c r="AG110" s="4">
        <v>0.24</v>
      </c>
      <c r="AH110" s="4">
        <v>0.7</v>
      </c>
      <c r="AI110" s="4">
        <v>0</v>
      </c>
      <c r="AJ110" t="s">
        <v>72</v>
      </c>
      <c r="AK110" t="s">
        <v>62</v>
      </c>
      <c r="AL110" t="s">
        <v>62</v>
      </c>
      <c r="AM110" t="s">
        <v>104</v>
      </c>
      <c r="AN110" t="s">
        <v>97</v>
      </c>
      <c r="AO110" t="s">
        <v>65</v>
      </c>
      <c r="AP110" t="s">
        <v>66</v>
      </c>
    </row>
    <row r="111" spans="1:42" x14ac:dyDescent="0.25">
      <c r="A111" t="str">
        <f>HYPERLINK("HTTP://10.0.1.74/krs/244/detail","/krs/244")</f>
        <v>/krs/244</v>
      </c>
      <c r="B111">
        <v>244</v>
      </c>
      <c r="C111" t="s">
        <v>53</v>
      </c>
      <c r="D111" t="s">
        <v>81</v>
      </c>
      <c r="E111" t="s">
        <v>135</v>
      </c>
      <c r="F111" t="s">
        <v>95</v>
      </c>
      <c r="G111" s="1">
        <v>43020</v>
      </c>
      <c r="H111" t="s">
        <v>137</v>
      </c>
      <c r="I111" t="s">
        <v>57</v>
      </c>
      <c r="K111" s="3">
        <v>1145</v>
      </c>
      <c r="L111" s="3">
        <v>511</v>
      </c>
      <c r="M111" s="3">
        <v>1656</v>
      </c>
      <c r="N111" s="4">
        <v>0.69</v>
      </c>
      <c r="O111" s="3">
        <v>46</v>
      </c>
      <c r="P111" s="3"/>
      <c r="Q111" s="3">
        <v>20</v>
      </c>
      <c r="R111" s="3">
        <v>46</v>
      </c>
      <c r="S111" s="5">
        <v>3.5</v>
      </c>
      <c r="T111" s="5">
        <v>3.5</v>
      </c>
      <c r="U111" s="4">
        <v>0.7</v>
      </c>
      <c r="V111" s="4">
        <v>0.69</v>
      </c>
      <c r="W111" s="4">
        <v>0.89</v>
      </c>
      <c r="X111" s="4">
        <v>0.88</v>
      </c>
      <c r="Y111" s="4">
        <v>0.43</v>
      </c>
      <c r="Z111" s="4">
        <v>0.31</v>
      </c>
      <c r="AA111" s="3">
        <v>46</v>
      </c>
      <c r="AB111" s="3">
        <v>29</v>
      </c>
      <c r="AC111" s="5">
        <v>3.9</v>
      </c>
      <c r="AD111" s="4">
        <v>0.8</v>
      </c>
      <c r="AE111" s="4">
        <v>0.78</v>
      </c>
      <c r="AF111" s="4">
        <v>0.63</v>
      </c>
      <c r="AG111" s="4">
        <v>0.22</v>
      </c>
      <c r="AH111" s="4">
        <v>0.65</v>
      </c>
      <c r="AI111" s="4">
        <v>0</v>
      </c>
      <c r="AJ111" t="s">
        <v>72</v>
      </c>
      <c r="AK111" t="s">
        <v>61</v>
      </c>
      <c r="AL111" t="s">
        <v>62</v>
      </c>
      <c r="AM111" t="s">
        <v>104</v>
      </c>
      <c r="AN111" t="s">
        <v>64</v>
      </c>
      <c r="AO111" t="s">
        <v>65</v>
      </c>
      <c r="AP111" t="s">
        <v>75</v>
      </c>
    </row>
    <row r="112" spans="1:42" x14ac:dyDescent="0.25">
      <c r="A112" t="str">
        <f>HYPERLINK("HTTP://10.0.1.74/krs/245/detail","/krs/245")</f>
        <v>/krs/245</v>
      </c>
      <c r="B112">
        <v>245</v>
      </c>
      <c r="C112" t="s">
        <v>53</v>
      </c>
      <c r="D112" t="s">
        <v>47</v>
      </c>
      <c r="E112" t="s">
        <v>54</v>
      </c>
      <c r="F112" t="s">
        <v>138</v>
      </c>
      <c r="G112" s="1">
        <v>42982</v>
      </c>
      <c r="H112" t="s">
        <v>117</v>
      </c>
      <c r="I112" t="s">
        <v>51</v>
      </c>
      <c r="J112" t="s">
        <v>207</v>
      </c>
      <c r="K112" s="3">
        <v>364</v>
      </c>
      <c r="L112" s="3">
        <v>136</v>
      </c>
      <c r="M112" s="3">
        <v>500</v>
      </c>
      <c r="N112" s="4">
        <v>0.73</v>
      </c>
      <c r="O112" s="3">
        <v>25</v>
      </c>
      <c r="P112" s="3"/>
      <c r="Q112" s="3">
        <v>21</v>
      </c>
      <c r="R112" s="3">
        <v>25</v>
      </c>
      <c r="S112" s="5">
        <v>3.9</v>
      </c>
      <c r="T112" s="5">
        <v>3.9</v>
      </c>
      <c r="U112" s="4">
        <v>0.78</v>
      </c>
      <c r="V112" s="4">
        <v>0.73</v>
      </c>
      <c r="W112" s="4">
        <v>1</v>
      </c>
      <c r="X112" s="4">
        <v>0.91</v>
      </c>
      <c r="Y112" s="4">
        <v>0.84</v>
      </c>
      <c r="Z112" s="4">
        <v>0.27</v>
      </c>
      <c r="AA112" s="3">
        <v>25</v>
      </c>
      <c r="AB112" s="3">
        <v>20</v>
      </c>
      <c r="AC112" s="5">
        <v>4</v>
      </c>
      <c r="AD112" s="4">
        <v>1</v>
      </c>
      <c r="AE112" s="4">
        <v>0.8</v>
      </c>
      <c r="AF112" s="4">
        <v>0.8</v>
      </c>
      <c r="AG112" s="4">
        <v>0.2</v>
      </c>
      <c r="AH112" s="4">
        <v>0.73</v>
      </c>
      <c r="AI112" s="4">
        <v>0</v>
      </c>
      <c r="AJ112" t="s">
        <v>72</v>
      </c>
      <c r="AK112" t="s">
        <v>62</v>
      </c>
      <c r="AL112" t="s">
        <v>62</v>
      </c>
      <c r="AM112" t="s">
        <v>104</v>
      </c>
      <c r="AN112" t="s">
        <v>97</v>
      </c>
      <c r="AO112" t="s">
        <v>65</v>
      </c>
      <c r="AP112" t="s">
        <v>66</v>
      </c>
    </row>
    <row r="113" spans="1:42" x14ac:dyDescent="0.25">
      <c r="A113" t="str">
        <f>HYPERLINK("HTTP://10.0.1.74/krs/246/detail","/krs/246")</f>
        <v>/krs/246</v>
      </c>
      <c r="B113">
        <v>246</v>
      </c>
      <c r="C113" t="s">
        <v>208</v>
      </c>
      <c r="D113" t="s">
        <v>81</v>
      </c>
      <c r="E113" t="s">
        <v>54</v>
      </c>
      <c r="F113" t="s">
        <v>55</v>
      </c>
      <c r="G113" s="1">
        <v>43031</v>
      </c>
      <c r="H113" t="s">
        <v>56</v>
      </c>
      <c r="I113" t="s">
        <v>57</v>
      </c>
      <c r="J113" t="s">
        <v>208</v>
      </c>
      <c r="K113" s="3">
        <v>154</v>
      </c>
      <c r="L113" s="3">
        <v>182</v>
      </c>
      <c r="M113" s="3">
        <v>336</v>
      </c>
      <c r="N113" s="4">
        <v>0.46</v>
      </c>
      <c r="O113" s="3">
        <v>14</v>
      </c>
      <c r="P113" s="3"/>
      <c r="Q113" s="3">
        <v>1</v>
      </c>
      <c r="R113" s="3">
        <v>14</v>
      </c>
      <c r="S113" s="5">
        <v>2.4</v>
      </c>
      <c r="T113" s="5">
        <v>2.9</v>
      </c>
      <c r="U113" s="4">
        <v>0.59</v>
      </c>
      <c r="V113" s="4">
        <v>0.46</v>
      </c>
      <c r="W113" s="4">
        <v>0.86</v>
      </c>
      <c r="X113" s="4">
        <v>0.7</v>
      </c>
      <c r="Y113" s="4">
        <v>7.0000000000000007E-2</v>
      </c>
      <c r="Z113" s="4">
        <v>0.54</v>
      </c>
      <c r="AA113" s="3">
        <v>14</v>
      </c>
      <c r="AB113" s="3">
        <v>4</v>
      </c>
      <c r="AC113" s="5">
        <v>3.3</v>
      </c>
      <c r="AD113" s="4">
        <v>0.93</v>
      </c>
      <c r="AE113" s="4">
        <v>0.66</v>
      </c>
      <c r="AF113" s="4">
        <v>0.28999999999999998</v>
      </c>
      <c r="AG113" s="4">
        <v>0.34</v>
      </c>
      <c r="AH113" s="4">
        <v>0.65</v>
      </c>
      <c r="AI113" s="4">
        <v>0.43</v>
      </c>
      <c r="AJ113" t="s">
        <v>60</v>
      </c>
      <c r="AK113" t="s">
        <v>86</v>
      </c>
      <c r="AL113" t="s">
        <v>62</v>
      </c>
      <c r="AM113" t="s">
        <v>73</v>
      </c>
      <c r="AN113" t="s">
        <v>64</v>
      </c>
      <c r="AO113" t="s">
        <v>74</v>
      </c>
      <c r="AP113" t="s">
        <v>75</v>
      </c>
    </row>
    <row r="114" spans="1:42" x14ac:dyDescent="0.25">
      <c r="A114" t="str">
        <f>HYPERLINK("HTTP://10.0.1.74/krs/247/detail","/krs/247")</f>
        <v>/krs/247</v>
      </c>
      <c r="B114">
        <v>247</v>
      </c>
      <c r="C114" t="s">
        <v>53</v>
      </c>
      <c r="D114" t="s">
        <v>81</v>
      </c>
      <c r="E114" t="s">
        <v>125</v>
      </c>
      <c r="F114" t="s">
        <v>89</v>
      </c>
      <c r="G114" s="1">
        <v>43024</v>
      </c>
      <c r="H114" t="s">
        <v>127</v>
      </c>
      <c r="I114" t="s">
        <v>51</v>
      </c>
      <c r="K114" s="3">
        <v>144</v>
      </c>
      <c r="L114" s="3">
        <v>116</v>
      </c>
      <c r="M114" s="3">
        <v>260</v>
      </c>
      <c r="N114" s="4">
        <v>0.55000000000000004</v>
      </c>
      <c r="O114" s="3">
        <v>26</v>
      </c>
      <c r="P114" s="3"/>
      <c r="Q114" s="3">
        <v>8</v>
      </c>
      <c r="R114" s="3">
        <v>26</v>
      </c>
      <c r="S114" s="5">
        <v>3.2</v>
      </c>
      <c r="T114" s="5">
        <v>3.1</v>
      </c>
      <c r="U114" s="4">
        <v>0.62</v>
      </c>
      <c r="V114" s="4">
        <v>0.55000000000000004</v>
      </c>
      <c r="W114" s="4">
        <v>0.81</v>
      </c>
      <c r="X114" s="4">
        <v>0</v>
      </c>
      <c r="Y114" s="4">
        <v>0.31</v>
      </c>
      <c r="Z114" s="4">
        <v>0.45</v>
      </c>
      <c r="AA114" s="3">
        <v>26</v>
      </c>
      <c r="AB114" s="3">
        <v>12</v>
      </c>
      <c r="AC114" s="5">
        <v>3.7</v>
      </c>
      <c r="AD114" s="4">
        <v>0.92</v>
      </c>
      <c r="AE114" s="4">
        <v>0.74</v>
      </c>
      <c r="AF114" s="4">
        <v>0.46</v>
      </c>
      <c r="AG114" s="4">
        <v>0.26</v>
      </c>
      <c r="AH114" s="4">
        <v>0.61</v>
      </c>
      <c r="AI114" s="4">
        <v>0</v>
      </c>
      <c r="AJ114" t="s">
        <v>72</v>
      </c>
      <c r="AK114" t="s">
        <v>86</v>
      </c>
      <c r="AL114" t="s">
        <v>62</v>
      </c>
      <c r="AM114" t="s">
        <v>63</v>
      </c>
      <c r="AN114" t="s">
        <v>64</v>
      </c>
      <c r="AO114" t="s">
        <v>79</v>
      </c>
      <c r="AP114" t="s">
        <v>75</v>
      </c>
    </row>
    <row r="115" spans="1:42" x14ac:dyDescent="0.25">
      <c r="A115" t="str">
        <f>HYPERLINK("HTTP://10.0.1.74/krs/248/detail","/krs/248")</f>
        <v>/krs/248</v>
      </c>
      <c r="B115">
        <v>248</v>
      </c>
      <c r="C115" t="s">
        <v>53</v>
      </c>
      <c r="D115" t="s">
        <v>81</v>
      </c>
      <c r="E115" t="s">
        <v>125</v>
      </c>
      <c r="F115" t="s">
        <v>102</v>
      </c>
      <c r="G115" s="1">
        <v>43027</v>
      </c>
      <c r="H115" t="s">
        <v>127</v>
      </c>
      <c r="I115" t="s">
        <v>51</v>
      </c>
      <c r="J115" t="s">
        <v>209</v>
      </c>
      <c r="K115" s="3">
        <v>124</v>
      </c>
      <c r="L115" s="3">
        <v>76</v>
      </c>
      <c r="M115" s="3">
        <v>200</v>
      </c>
      <c r="N115" s="4">
        <v>0.62</v>
      </c>
      <c r="O115" s="3">
        <v>20</v>
      </c>
      <c r="P115" s="3"/>
      <c r="Q115" s="3">
        <v>15</v>
      </c>
      <c r="R115" s="3">
        <v>20</v>
      </c>
      <c r="S115" s="5">
        <v>3.6</v>
      </c>
      <c r="T115" s="5">
        <v>3.5</v>
      </c>
      <c r="U115" s="4">
        <v>0.71</v>
      </c>
      <c r="V115" s="4">
        <v>0.62</v>
      </c>
      <c r="W115" s="4">
        <v>0.85</v>
      </c>
      <c r="X115" s="4">
        <v>0</v>
      </c>
      <c r="Y115" s="4">
        <v>0.75</v>
      </c>
      <c r="Z115" s="4">
        <v>0.38</v>
      </c>
      <c r="AA115" s="3">
        <v>0</v>
      </c>
      <c r="AB115" s="3">
        <v>0</v>
      </c>
      <c r="AC115" s="5">
        <v>0</v>
      </c>
      <c r="AD115" s="4">
        <v>0</v>
      </c>
      <c r="AE115" s="4">
        <v>0</v>
      </c>
      <c r="AF115" s="4">
        <v>0</v>
      </c>
      <c r="AG115" s="4">
        <v>1</v>
      </c>
      <c r="AH115" s="4">
        <v>0.68</v>
      </c>
      <c r="AI115" s="4">
        <v>0</v>
      </c>
      <c r="AJ115" t="s">
        <v>72</v>
      </c>
      <c r="AK115" t="s">
        <v>61</v>
      </c>
      <c r="AL115" t="s">
        <v>62</v>
      </c>
      <c r="AM115" t="s">
        <v>63</v>
      </c>
      <c r="AN115" t="s">
        <v>64</v>
      </c>
      <c r="AO115" t="s">
        <v>79</v>
      </c>
      <c r="AP115" t="s">
        <v>75</v>
      </c>
    </row>
    <row r="116" spans="1:42" x14ac:dyDescent="0.25">
      <c r="A116" t="str">
        <f>HYPERLINK("HTTP://10.0.1.74/krs/250/detail","/krs/250")</f>
        <v>/krs/250</v>
      </c>
      <c r="B116">
        <v>250</v>
      </c>
      <c r="C116" t="s">
        <v>53</v>
      </c>
      <c r="D116" t="s">
        <v>81</v>
      </c>
      <c r="E116" t="s">
        <v>125</v>
      </c>
      <c r="F116" t="s">
        <v>105</v>
      </c>
      <c r="G116" s="1">
        <v>43021</v>
      </c>
      <c r="H116" t="s">
        <v>127</v>
      </c>
      <c r="I116" t="s">
        <v>51</v>
      </c>
      <c r="K116" s="3">
        <v>152</v>
      </c>
      <c r="L116" s="3">
        <v>68</v>
      </c>
      <c r="M116" s="3">
        <v>220</v>
      </c>
      <c r="N116" s="4">
        <v>0.69</v>
      </c>
      <c r="O116" s="3">
        <v>22</v>
      </c>
      <c r="P116" s="3"/>
      <c r="Q116" s="3">
        <v>14</v>
      </c>
      <c r="R116" s="3">
        <v>22</v>
      </c>
      <c r="S116" s="5">
        <v>3.8</v>
      </c>
      <c r="T116" s="5">
        <v>3.8</v>
      </c>
      <c r="U116" s="4">
        <v>0.76</v>
      </c>
      <c r="V116" s="4">
        <v>0.69</v>
      </c>
      <c r="W116" s="4">
        <v>0.95</v>
      </c>
      <c r="X116" s="4">
        <v>0</v>
      </c>
      <c r="Y116" s="4">
        <v>0.64</v>
      </c>
      <c r="Z116" s="4">
        <v>0.31</v>
      </c>
      <c r="AA116" s="3">
        <v>22</v>
      </c>
      <c r="AB116" s="3">
        <v>19</v>
      </c>
      <c r="AC116" s="5">
        <v>4.2</v>
      </c>
      <c r="AD116" s="4">
        <v>1</v>
      </c>
      <c r="AE116" s="4">
        <v>0.85</v>
      </c>
      <c r="AF116" s="4">
        <v>0.86</v>
      </c>
      <c r="AG116" s="4">
        <v>0.15</v>
      </c>
      <c r="AH116" s="4">
        <v>0.75</v>
      </c>
      <c r="AI116" s="4">
        <v>0</v>
      </c>
      <c r="AJ116" t="s">
        <v>72</v>
      </c>
      <c r="AK116" t="s">
        <v>61</v>
      </c>
      <c r="AL116" t="s">
        <v>62</v>
      </c>
      <c r="AM116" t="s">
        <v>63</v>
      </c>
      <c r="AN116" t="s">
        <v>64</v>
      </c>
      <c r="AO116" t="s">
        <v>79</v>
      </c>
      <c r="AP116" t="s">
        <v>75</v>
      </c>
    </row>
    <row r="117" spans="1:42" x14ac:dyDescent="0.25">
      <c r="A117" t="str">
        <f>HYPERLINK("HTTP://10.0.1.74/krs/251/detail","/krs/251")</f>
        <v>/krs/251</v>
      </c>
      <c r="B117">
        <v>251</v>
      </c>
      <c r="C117" t="s">
        <v>53</v>
      </c>
      <c r="D117" t="s">
        <v>81</v>
      </c>
      <c r="E117" t="s">
        <v>125</v>
      </c>
      <c r="F117" t="s">
        <v>107</v>
      </c>
      <c r="G117" s="1">
        <v>43024</v>
      </c>
      <c r="H117" t="s">
        <v>127</v>
      </c>
      <c r="I117" t="s">
        <v>51</v>
      </c>
      <c r="K117" s="3">
        <v>113</v>
      </c>
      <c r="L117" s="3">
        <v>77</v>
      </c>
      <c r="M117" s="3">
        <v>190</v>
      </c>
      <c r="N117" s="4">
        <v>0.59</v>
      </c>
      <c r="O117" s="3">
        <v>19</v>
      </c>
      <c r="P117" s="3"/>
      <c r="Q117" s="3">
        <v>9</v>
      </c>
      <c r="R117" s="3">
        <v>19</v>
      </c>
      <c r="S117" s="5">
        <v>3.4</v>
      </c>
      <c r="T117" s="5">
        <v>3.4</v>
      </c>
      <c r="U117" s="4">
        <v>0.68</v>
      </c>
      <c r="V117" s="4">
        <v>0.59</v>
      </c>
      <c r="W117" s="4">
        <v>0.79</v>
      </c>
      <c r="X117" s="4">
        <v>0</v>
      </c>
      <c r="Y117" s="4">
        <v>0.47</v>
      </c>
      <c r="Z117" s="4">
        <v>0.41</v>
      </c>
      <c r="AA117" s="3">
        <v>19</v>
      </c>
      <c r="AB117" s="3">
        <v>9</v>
      </c>
      <c r="AC117" s="5">
        <v>3.7</v>
      </c>
      <c r="AD117" s="4">
        <v>0.95</v>
      </c>
      <c r="AE117" s="4">
        <v>0.75</v>
      </c>
      <c r="AF117" s="4">
        <v>0.47</v>
      </c>
      <c r="AG117" s="4">
        <v>0.25</v>
      </c>
      <c r="AH117" s="4"/>
      <c r="AI117" s="4">
        <v>0</v>
      </c>
      <c r="AJ117" t="s">
        <v>72</v>
      </c>
      <c r="AK117" t="s">
        <v>86</v>
      </c>
      <c r="AL117" t="s">
        <v>62</v>
      </c>
      <c r="AM117" t="s">
        <v>63</v>
      </c>
      <c r="AN117" t="s">
        <v>64</v>
      </c>
      <c r="AO117" t="s">
        <v>79</v>
      </c>
      <c r="AP117" t="s">
        <v>75</v>
      </c>
    </row>
    <row r="118" spans="1:42" x14ac:dyDescent="0.25">
      <c r="A118" t="str">
        <f>HYPERLINK("HTTP://10.0.1.74/krs/253/detail","/krs/253")</f>
        <v>/krs/253</v>
      </c>
      <c r="B118">
        <v>253</v>
      </c>
      <c r="C118" t="s">
        <v>46</v>
      </c>
      <c r="D118" t="s">
        <v>47</v>
      </c>
      <c r="E118" t="s">
        <v>68</v>
      </c>
      <c r="F118" t="s">
        <v>136</v>
      </c>
      <c r="G118" s="1">
        <v>42998</v>
      </c>
      <c r="H118" t="s">
        <v>210</v>
      </c>
      <c r="I118" t="s">
        <v>51</v>
      </c>
      <c r="K118" s="3">
        <v>140</v>
      </c>
      <c r="L118" s="3">
        <v>136</v>
      </c>
      <c r="M118" s="3">
        <v>276</v>
      </c>
      <c r="N118" s="4">
        <v>0.51</v>
      </c>
      <c r="O118" s="3">
        <v>23</v>
      </c>
      <c r="P118" s="3"/>
      <c r="Q118" s="3">
        <v>8</v>
      </c>
      <c r="R118" s="3">
        <v>23</v>
      </c>
      <c r="S118" s="5">
        <v>3.1</v>
      </c>
      <c r="T118" s="5">
        <v>3.4</v>
      </c>
      <c r="U118" s="4">
        <v>0.69</v>
      </c>
      <c r="V118" s="4">
        <v>0.51</v>
      </c>
      <c r="W118" s="4">
        <v>1</v>
      </c>
      <c r="X118" s="4">
        <v>0</v>
      </c>
      <c r="Y118" s="4">
        <v>0.35</v>
      </c>
      <c r="Z118" s="4">
        <v>0.49</v>
      </c>
      <c r="AA118" s="3">
        <v>0</v>
      </c>
      <c r="AB118" s="3">
        <v>0</v>
      </c>
      <c r="AC118" s="5">
        <v>0</v>
      </c>
      <c r="AD118" s="4">
        <v>0</v>
      </c>
      <c r="AE118" s="4">
        <v>0</v>
      </c>
      <c r="AF118" s="4">
        <v>0</v>
      </c>
      <c r="AG118" s="4">
        <v>1</v>
      </c>
      <c r="AH118" s="4">
        <v>0.77</v>
      </c>
      <c r="AI118" s="4">
        <v>0.4</v>
      </c>
      <c r="AJ118" t="s">
        <v>60</v>
      </c>
      <c r="AK118" t="s">
        <v>86</v>
      </c>
      <c r="AL118" t="s">
        <v>62</v>
      </c>
      <c r="AM118" t="s">
        <v>63</v>
      </c>
      <c r="AN118" t="s">
        <v>64</v>
      </c>
      <c r="AO118" t="s">
        <v>79</v>
      </c>
      <c r="AP118" t="s">
        <v>75</v>
      </c>
    </row>
    <row r="119" spans="1:42" x14ac:dyDescent="0.25">
      <c r="A119" t="str">
        <f>HYPERLINK("HTTP://10.0.1.74/krs/254/detail","/krs/254")</f>
        <v>/krs/254</v>
      </c>
      <c r="B119">
        <v>254</v>
      </c>
      <c r="C119" t="s">
        <v>46</v>
      </c>
      <c r="D119" t="s">
        <v>47</v>
      </c>
      <c r="E119" t="s">
        <v>68</v>
      </c>
      <c r="F119" t="s">
        <v>131</v>
      </c>
      <c r="G119" s="1">
        <v>42997</v>
      </c>
      <c r="H119" t="s">
        <v>210</v>
      </c>
      <c r="I119" t="s">
        <v>51</v>
      </c>
      <c r="K119" s="3">
        <v>110</v>
      </c>
      <c r="L119" s="3">
        <v>94</v>
      </c>
      <c r="M119" s="3">
        <v>204</v>
      </c>
      <c r="N119" s="4">
        <v>0.54</v>
      </c>
      <c r="O119" s="3">
        <v>17</v>
      </c>
      <c r="P119" s="3"/>
      <c r="Q119" s="3">
        <v>8</v>
      </c>
      <c r="R119" s="3">
        <v>17</v>
      </c>
      <c r="S119" s="5">
        <v>3.2</v>
      </c>
      <c r="T119" s="5">
        <v>3.4</v>
      </c>
      <c r="U119" s="4">
        <v>0.67</v>
      </c>
      <c r="V119" s="4">
        <v>0.54</v>
      </c>
      <c r="W119" s="4">
        <v>0.88</v>
      </c>
      <c r="X119" s="4">
        <v>0</v>
      </c>
      <c r="Y119" s="4">
        <v>0.47</v>
      </c>
      <c r="Z119" s="4">
        <v>0.46</v>
      </c>
      <c r="AA119" s="3">
        <v>0</v>
      </c>
      <c r="AB119" s="3">
        <v>0</v>
      </c>
      <c r="AC119" s="5">
        <v>0</v>
      </c>
      <c r="AD119" s="4">
        <v>0</v>
      </c>
      <c r="AE119" s="4">
        <v>0</v>
      </c>
      <c r="AF119" s="4">
        <v>0</v>
      </c>
      <c r="AG119" s="4">
        <v>1</v>
      </c>
      <c r="AH119" s="4">
        <v>0.78</v>
      </c>
      <c r="AI119" s="4">
        <v>0.45</v>
      </c>
      <c r="AJ119" t="s">
        <v>60</v>
      </c>
      <c r="AK119" t="s">
        <v>86</v>
      </c>
      <c r="AL119" t="s">
        <v>62</v>
      </c>
      <c r="AM119" t="s">
        <v>63</v>
      </c>
      <c r="AN119" t="s">
        <v>64</v>
      </c>
      <c r="AO119" t="s">
        <v>79</v>
      </c>
      <c r="AP119" t="s">
        <v>75</v>
      </c>
    </row>
    <row r="120" spans="1:42" x14ac:dyDescent="0.25">
      <c r="A120" t="str">
        <f>HYPERLINK("HTTP://10.0.1.74/krs/255/detail","/krs/255")</f>
        <v>/krs/255</v>
      </c>
      <c r="B120">
        <v>255</v>
      </c>
      <c r="C120" t="s">
        <v>53</v>
      </c>
      <c r="D120" t="s">
        <v>81</v>
      </c>
      <c r="E120" t="s">
        <v>125</v>
      </c>
      <c r="F120" t="s">
        <v>99</v>
      </c>
      <c r="G120" s="1">
        <v>43022</v>
      </c>
      <c r="H120" t="s">
        <v>127</v>
      </c>
      <c r="I120" t="s">
        <v>51</v>
      </c>
      <c r="K120" s="3">
        <v>171</v>
      </c>
      <c r="L120" s="3">
        <v>89</v>
      </c>
      <c r="M120" s="3">
        <v>260</v>
      </c>
      <c r="N120" s="4">
        <v>0.66</v>
      </c>
      <c r="O120" s="3">
        <v>26</v>
      </c>
      <c r="P120" s="3"/>
      <c r="Q120" s="3">
        <v>19</v>
      </c>
      <c r="R120" s="3">
        <v>26</v>
      </c>
      <c r="S120" s="5">
        <v>3.7</v>
      </c>
      <c r="T120" s="5">
        <v>3.7</v>
      </c>
      <c r="U120" s="4">
        <v>0.75</v>
      </c>
      <c r="V120" s="4">
        <v>0.66</v>
      </c>
      <c r="W120" s="4">
        <v>0.85</v>
      </c>
      <c r="X120" s="4">
        <v>0</v>
      </c>
      <c r="Y120" s="4">
        <v>0.73</v>
      </c>
      <c r="Z120" s="4">
        <v>0.34</v>
      </c>
      <c r="AA120" s="3">
        <v>24</v>
      </c>
      <c r="AB120" s="3">
        <v>17</v>
      </c>
      <c r="AC120" s="5">
        <v>4.0999999999999996</v>
      </c>
      <c r="AD120" s="4">
        <v>0.92</v>
      </c>
      <c r="AE120" s="4">
        <v>0.82</v>
      </c>
      <c r="AF120" s="4">
        <v>0.71</v>
      </c>
      <c r="AG120" s="4">
        <v>0.18</v>
      </c>
      <c r="AH120" s="4">
        <v>0.72</v>
      </c>
      <c r="AI120" s="4">
        <v>0</v>
      </c>
      <c r="AJ120" t="s">
        <v>72</v>
      </c>
      <c r="AK120" t="s">
        <v>61</v>
      </c>
      <c r="AL120" t="s">
        <v>62</v>
      </c>
      <c r="AM120" t="s">
        <v>63</v>
      </c>
      <c r="AN120" t="s">
        <v>64</v>
      </c>
      <c r="AO120" t="s">
        <v>79</v>
      </c>
      <c r="AP120" t="s">
        <v>75</v>
      </c>
    </row>
    <row r="121" spans="1:42" x14ac:dyDescent="0.25">
      <c r="A121" t="str">
        <f>HYPERLINK("HTTP://10.0.1.74/krs/256/detail","/krs/256")</f>
        <v>/krs/256</v>
      </c>
      <c r="B121">
        <v>256</v>
      </c>
      <c r="C121" t="s">
        <v>53</v>
      </c>
      <c r="D121" t="s">
        <v>47</v>
      </c>
      <c r="E121" t="s">
        <v>111</v>
      </c>
      <c r="F121" t="s">
        <v>211</v>
      </c>
      <c r="G121" s="1">
        <v>42984</v>
      </c>
      <c r="H121" t="s">
        <v>212</v>
      </c>
      <c r="I121" t="s">
        <v>51</v>
      </c>
      <c r="K121" s="3">
        <v>72</v>
      </c>
      <c r="L121" s="3">
        <v>38</v>
      </c>
      <c r="M121" s="3">
        <v>110</v>
      </c>
      <c r="N121" s="4">
        <v>0.65</v>
      </c>
      <c r="O121" s="3">
        <v>11</v>
      </c>
      <c r="P121" s="3"/>
      <c r="Q121" s="3">
        <v>4</v>
      </c>
      <c r="R121" s="3">
        <v>11</v>
      </c>
      <c r="S121" s="5">
        <v>3.6</v>
      </c>
      <c r="T121" s="5">
        <v>3.5</v>
      </c>
      <c r="U121" s="4">
        <v>0.71</v>
      </c>
      <c r="V121" s="4">
        <v>0.65</v>
      </c>
      <c r="W121" s="4">
        <v>1</v>
      </c>
      <c r="X121" s="4">
        <v>0.82</v>
      </c>
      <c r="Y121" s="4">
        <v>0.36</v>
      </c>
      <c r="Z121" s="4">
        <v>0.35</v>
      </c>
      <c r="AA121" s="3">
        <v>11</v>
      </c>
      <c r="AB121" s="3">
        <v>6</v>
      </c>
      <c r="AC121" s="5">
        <v>4</v>
      </c>
      <c r="AD121" s="4">
        <v>1</v>
      </c>
      <c r="AE121" s="4">
        <v>0.79</v>
      </c>
      <c r="AF121" s="4">
        <v>0.55000000000000004</v>
      </c>
      <c r="AG121" s="4">
        <v>0.21</v>
      </c>
      <c r="AH121" s="4">
        <v>0.66</v>
      </c>
      <c r="AI121" s="4">
        <v>0</v>
      </c>
      <c r="AJ121" t="s">
        <v>72</v>
      </c>
      <c r="AK121" t="s">
        <v>61</v>
      </c>
      <c r="AL121" t="s">
        <v>62</v>
      </c>
      <c r="AM121" t="s">
        <v>73</v>
      </c>
      <c r="AN121" t="s">
        <v>64</v>
      </c>
      <c r="AO121" t="s">
        <v>74</v>
      </c>
      <c r="AP121" t="s">
        <v>75</v>
      </c>
    </row>
    <row r="122" spans="1:42" x14ac:dyDescent="0.25">
      <c r="A122" t="str">
        <f>HYPERLINK("HTTP://10.0.1.74/krs/257/detail","/krs/257")</f>
        <v>/krs/257</v>
      </c>
      <c r="B122">
        <v>257</v>
      </c>
      <c r="C122" t="s">
        <v>53</v>
      </c>
      <c r="D122" t="s">
        <v>47</v>
      </c>
      <c r="E122" t="s">
        <v>111</v>
      </c>
      <c r="F122" t="s">
        <v>126</v>
      </c>
      <c r="G122" s="1">
        <v>42994</v>
      </c>
      <c r="H122" t="s">
        <v>212</v>
      </c>
      <c r="I122" t="s">
        <v>51</v>
      </c>
      <c r="K122" s="3">
        <v>426</v>
      </c>
      <c r="L122" s="3">
        <v>393</v>
      </c>
      <c r="M122" s="3">
        <v>819</v>
      </c>
      <c r="N122" s="4">
        <v>0.52</v>
      </c>
      <c r="O122" s="3">
        <v>63</v>
      </c>
      <c r="P122" s="3"/>
      <c r="Q122" s="3">
        <v>18</v>
      </c>
      <c r="R122" s="3">
        <v>63</v>
      </c>
      <c r="S122" s="5">
        <v>3.1</v>
      </c>
      <c r="T122" s="5">
        <v>3.2</v>
      </c>
      <c r="U122" s="4">
        <v>0.64</v>
      </c>
      <c r="V122" s="4">
        <v>0.52</v>
      </c>
      <c r="W122" s="4">
        <v>0.9</v>
      </c>
      <c r="X122" s="4">
        <v>0.8</v>
      </c>
      <c r="Y122" s="4">
        <v>0.28999999999999998</v>
      </c>
      <c r="Z122" s="4">
        <v>0.48</v>
      </c>
      <c r="AA122" s="3">
        <v>63</v>
      </c>
      <c r="AB122" s="3">
        <v>4</v>
      </c>
      <c r="AC122" s="5">
        <v>3.3</v>
      </c>
      <c r="AD122" s="4">
        <v>0.97</v>
      </c>
      <c r="AE122" s="4">
        <v>0.65</v>
      </c>
      <c r="AF122" s="4">
        <v>0.06</v>
      </c>
      <c r="AG122" s="4">
        <v>0.35</v>
      </c>
      <c r="AH122" s="4">
        <v>0.57999999999999996</v>
      </c>
      <c r="AI122" s="4">
        <v>0</v>
      </c>
      <c r="AJ122" t="s">
        <v>60</v>
      </c>
      <c r="AK122" t="s">
        <v>86</v>
      </c>
      <c r="AL122" t="s">
        <v>62</v>
      </c>
      <c r="AM122" t="s">
        <v>73</v>
      </c>
      <c r="AN122" t="s">
        <v>64</v>
      </c>
      <c r="AO122" t="s">
        <v>74</v>
      </c>
      <c r="AP122" t="s">
        <v>75</v>
      </c>
    </row>
    <row r="123" spans="1:42" x14ac:dyDescent="0.25">
      <c r="A123" t="str">
        <f>HYPERLINK("HTTP://10.0.1.74/krs/258/detail","/krs/258")</f>
        <v>/krs/258</v>
      </c>
      <c r="B123">
        <v>258</v>
      </c>
      <c r="C123" t="s">
        <v>53</v>
      </c>
      <c r="D123" t="s">
        <v>47</v>
      </c>
      <c r="E123" t="s">
        <v>141</v>
      </c>
      <c r="F123" t="s">
        <v>126</v>
      </c>
      <c r="G123" s="1">
        <v>42993</v>
      </c>
      <c r="H123" t="s">
        <v>212</v>
      </c>
      <c r="I123" t="s">
        <v>51</v>
      </c>
      <c r="K123" s="3">
        <v>505</v>
      </c>
      <c r="L123" s="3">
        <v>225</v>
      </c>
      <c r="M123" s="3">
        <v>730</v>
      </c>
      <c r="N123" s="4">
        <v>0.69</v>
      </c>
      <c r="O123" s="3">
        <v>73</v>
      </c>
      <c r="P123" s="3"/>
      <c r="Q123" s="3">
        <v>0</v>
      </c>
      <c r="R123" s="3">
        <v>73</v>
      </c>
      <c r="S123" s="5">
        <v>3.8</v>
      </c>
      <c r="T123" s="5">
        <v>1</v>
      </c>
      <c r="U123" s="4">
        <v>0.2</v>
      </c>
      <c r="V123" s="4">
        <v>0.69</v>
      </c>
      <c r="W123" s="4">
        <v>0</v>
      </c>
      <c r="X123" s="4">
        <v>0</v>
      </c>
      <c r="Y123" s="4">
        <v>0</v>
      </c>
      <c r="Z123" s="4">
        <v>0.31</v>
      </c>
      <c r="AA123" s="3">
        <v>0</v>
      </c>
      <c r="AB123" s="3">
        <v>0</v>
      </c>
      <c r="AC123" s="5">
        <v>0</v>
      </c>
      <c r="AD123" s="4">
        <v>0</v>
      </c>
      <c r="AE123" s="4">
        <v>0</v>
      </c>
      <c r="AF123" s="4">
        <v>0</v>
      </c>
      <c r="AG123" s="4">
        <v>1</v>
      </c>
      <c r="AH123" s="4">
        <v>0.69</v>
      </c>
      <c r="AI123" s="4">
        <v>0</v>
      </c>
      <c r="AJ123" t="s">
        <v>60</v>
      </c>
      <c r="AK123" t="s">
        <v>61</v>
      </c>
      <c r="AL123" t="s">
        <v>86</v>
      </c>
      <c r="AM123" t="s">
        <v>63</v>
      </c>
      <c r="AN123" t="s">
        <v>97</v>
      </c>
      <c r="AO123" t="s">
        <v>79</v>
      </c>
      <c r="AP123" t="s">
        <v>75</v>
      </c>
    </row>
    <row r="124" spans="1:42" x14ac:dyDescent="0.25">
      <c r="A124" t="str">
        <f>HYPERLINK("HTTP://10.0.1.74/krs/259/detail","/krs/259")</f>
        <v>/krs/259</v>
      </c>
      <c r="B124">
        <v>259</v>
      </c>
      <c r="C124" t="s">
        <v>80</v>
      </c>
      <c r="D124" t="s">
        <v>81</v>
      </c>
      <c r="E124" t="s">
        <v>143</v>
      </c>
      <c r="F124" t="s">
        <v>107</v>
      </c>
      <c r="G124" s="1">
        <v>43018</v>
      </c>
      <c r="H124" t="s">
        <v>144</v>
      </c>
      <c r="I124" t="s">
        <v>51</v>
      </c>
      <c r="J124" t="s">
        <v>213</v>
      </c>
      <c r="K124" s="3">
        <v>419</v>
      </c>
      <c r="L124" s="3">
        <v>248</v>
      </c>
      <c r="M124" s="3">
        <v>667</v>
      </c>
      <c r="N124" s="4">
        <v>0.63</v>
      </c>
      <c r="O124" s="3">
        <v>23</v>
      </c>
      <c r="P124" s="3"/>
      <c r="Q124" s="3">
        <v>13</v>
      </c>
      <c r="R124" s="3">
        <v>23</v>
      </c>
      <c r="S124" s="5">
        <v>3.5</v>
      </c>
      <c r="T124" s="5">
        <v>3.6</v>
      </c>
      <c r="U124" s="4">
        <v>0.71</v>
      </c>
      <c r="V124" s="4">
        <v>0.63</v>
      </c>
      <c r="W124" s="4">
        <v>0.91</v>
      </c>
      <c r="X124" s="4">
        <v>0.84</v>
      </c>
      <c r="Y124" s="4">
        <v>0.56999999999999995</v>
      </c>
      <c r="Z124" s="4">
        <v>0.37</v>
      </c>
      <c r="AA124" s="3">
        <v>23</v>
      </c>
      <c r="AB124" s="3">
        <v>10</v>
      </c>
      <c r="AC124" s="5">
        <v>3.8</v>
      </c>
      <c r="AD124" s="4">
        <v>1</v>
      </c>
      <c r="AE124" s="4">
        <v>0.75</v>
      </c>
      <c r="AF124" s="4">
        <v>0.43</v>
      </c>
      <c r="AG124" s="4">
        <v>0.25</v>
      </c>
      <c r="AH124" s="4">
        <v>0.67</v>
      </c>
      <c r="AI124" s="4">
        <v>0</v>
      </c>
      <c r="AJ124" t="s">
        <v>72</v>
      </c>
      <c r="AK124" t="s">
        <v>61</v>
      </c>
      <c r="AL124" t="s">
        <v>62</v>
      </c>
      <c r="AM124" t="s">
        <v>73</v>
      </c>
      <c r="AN124" t="s">
        <v>64</v>
      </c>
      <c r="AO124" t="s">
        <v>74</v>
      </c>
      <c r="AP124" t="s">
        <v>75</v>
      </c>
    </row>
    <row r="125" spans="1:42" x14ac:dyDescent="0.25">
      <c r="A125" t="str">
        <f>HYPERLINK("HTTP://10.0.1.74/krs/260/detail","/krs/260")</f>
        <v>/krs/260</v>
      </c>
      <c r="B125">
        <v>260</v>
      </c>
      <c r="C125" t="s">
        <v>80</v>
      </c>
      <c r="D125" t="s">
        <v>81</v>
      </c>
      <c r="E125" t="s">
        <v>143</v>
      </c>
      <c r="F125" t="s">
        <v>105</v>
      </c>
      <c r="G125" s="1">
        <v>43011</v>
      </c>
      <c r="H125" t="s">
        <v>144</v>
      </c>
      <c r="I125" t="s">
        <v>51</v>
      </c>
      <c r="J125" t="s">
        <v>213</v>
      </c>
      <c r="K125" s="3">
        <v>337</v>
      </c>
      <c r="L125" s="3">
        <v>243</v>
      </c>
      <c r="M125" s="3">
        <v>580</v>
      </c>
      <c r="N125" s="4">
        <v>0.57999999999999996</v>
      </c>
      <c r="O125" s="3">
        <v>20</v>
      </c>
      <c r="P125" s="3"/>
      <c r="Q125" s="3">
        <v>6</v>
      </c>
      <c r="R125" s="3">
        <v>20</v>
      </c>
      <c r="S125" s="5">
        <v>3.3</v>
      </c>
      <c r="T125" s="5">
        <v>3</v>
      </c>
      <c r="U125" s="4">
        <v>0.6</v>
      </c>
      <c r="V125" s="4">
        <v>0.57999999999999996</v>
      </c>
      <c r="W125" s="4">
        <v>0.75</v>
      </c>
      <c r="X125" s="4">
        <v>0.79</v>
      </c>
      <c r="Y125" s="4">
        <v>0.3</v>
      </c>
      <c r="Z125" s="4">
        <v>0.42</v>
      </c>
      <c r="AA125" s="3">
        <v>19</v>
      </c>
      <c r="AB125" s="3">
        <v>7</v>
      </c>
      <c r="AC125" s="5">
        <v>3.7</v>
      </c>
      <c r="AD125" s="4">
        <v>1</v>
      </c>
      <c r="AE125" s="4">
        <v>0.73</v>
      </c>
      <c r="AF125" s="4">
        <v>0.37</v>
      </c>
      <c r="AG125" s="4">
        <v>0.27</v>
      </c>
      <c r="AH125" s="4">
        <v>0.64</v>
      </c>
      <c r="AI125" s="4">
        <v>0.5</v>
      </c>
      <c r="AJ125" t="s">
        <v>72</v>
      </c>
      <c r="AK125" t="s">
        <v>86</v>
      </c>
      <c r="AL125" t="s">
        <v>62</v>
      </c>
      <c r="AM125" t="s">
        <v>73</v>
      </c>
      <c r="AN125" t="s">
        <v>97</v>
      </c>
      <c r="AO125" t="s">
        <v>74</v>
      </c>
      <c r="AP125" t="s">
        <v>75</v>
      </c>
    </row>
    <row r="126" spans="1:42" x14ac:dyDescent="0.25">
      <c r="A126" t="str">
        <f>HYPERLINK("HTTP://10.0.1.74/krs/261/detail","/krs/261")</f>
        <v>/krs/261</v>
      </c>
      <c r="B126">
        <v>261</v>
      </c>
      <c r="C126" t="s">
        <v>214</v>
      </c>
      <c r="D126" t="s">
        <v>81</v>
      </c>
      <c r="E126" t="s">
        <v>143</v>
      </c>
      <c r="F126" t="s">
        <v>99</v>
      </c>
      <c r="G126" s="1">
        <v>43014</v>
      </c>
      <c r="H126" t="s">
        <v>144</v>
      </c>
      <c r="I126" t="s">
        <v>51</v>
      </c>
      <c r="J126" t="s">
        <v>213</v>
      </c>
      <c r="K126" s="3">
        <v>409</v>
      </c>
      <c r="L126" s="3">
        <v>258</v>
      </c>
      <c r="M126" s="3">
        <v>667</v>
      </c>
      <c r="N126" s="4">
        <v>0.61</v>
      </c>
      <c r="O126" s="3">
        <v>23</v>
      </c>
      <c r="P126" s="3"/>
      <c r="Q126" s="3">
        <v>12</v>
      </c>
      <c r="R126" s="3">
        <v>23</v>
      </c>
      <c r="S126" s="5">
        <v>3.5</v>
      </c>
      <c r="T126" s="5">
        <v>3.4</v>
      </c>
      <c r="U126" s="4">
        <v>0.68</v>
      </c>
      <c r="V126" s="4">
        <v>0.61</v>
      </c>
      <c r="W126" s="4">
        <v>0.83</v>
      </c>
      <c r="X126" s="4">
        <v>0.79</v>
      </c>
      <c r="Y126" s="4">
        <v>0.52</v>
      </c>
      <c r="Z126" s="4">
        <v>0.39</v>
      </c>
      <c r="AA126" s="3">
        <v>23</v>
      </c>
      <c r="AB126" s="3">
        <v>12</v>
      </c>
      <c r="AC126" s="5">
        <v>3.8</v>
      </c>
      <c r="AD126" s="4">
        <v>1</v>
      </c>
      <c r="AE126" s="4">
        <v>0.77</v>
      </c>
      <c r="AF126" s="4">
        <v>0.52</v>
      </c>
      <c r="AG126" s="4">
        <v>0.23</v>
      </c>
      <c r="AH126" s="4">
        <v>0.7</v>
      </c>
      <c r="AI126" s="4">
        <v>0.55000000000000004</v>
      </c>
      <c r="AJ126" t="s">
        <v>72</v>
      </c>
      <c r="AK126" t="s">
        <v>61</v>
      </c>
      <c r="AL126" t="s">
        <v>62</v>
      </c>
      <c r="AM126" t="s">
        <v>73</v>
      </c>
      <c r="AN126" t="s">
        <v>97</v>
      </c>
      <c r="AO126" t="s">
        <v>74</v>
      </c>
      <c r="AP126" t="s">
        <v>75</v>
      </c>
    </row>
    <row r="127" spans="1:42" x14ac:dyDescent="0.25">
      <c r="A127" t="str">
        <f>HYPERLINK("HTTP://10.0.1.74/krs/262/detail","/krs/262")</f>
        <v>/krs/262</v>
      </c>
      <c r="B127">
        <v>262</v>
      </c>
      <c r="C127" t="s">
        <v>80</v>
      </c>
      <c r="D127" t="s">
        <v>81</v>
      </c>
      <c r="E127" t="s">
        <v>143</v>
      </c>
      <c r="F127" t="s">
        <v>102</v>
      </c>
      <c r="G127" s="1">
        <v>43018</v>
      </c>
      <c r="H127" t="s">
        <v>144</v>
      </c>
      <c r="I127" t="s">
        <v>51</v>
      </c>
      <c r="J127" t="s">
        <v>213</v>
      </c>
      <c r="K127" s="3">
        <v>352</v>
      </c>
      <c r="L127" s="3">
        <v>257</v>
      </c>
      <c r="M127" s="3">
        <v>609</v>
      </c>
      <c r="N127" s="4">
        <v>0.57999999999999996</v>
      </c>
      <c r="O127" s="3">
        <v>21</v>
      </c>
      <c r="P127" s="3"/>
      <c r="Q127" s="3">
        <v>5</v>
      </c>
      <c r="R127" s="3">
        <v>21</v>
      </c>
      <c r="S127" s="5">
        <v>3.3</v>
      </c>
      <c r="T127" s="5">
        <v>3.2</v>
      </c>
      <c r="U127" s="4">
        <v>0.65</v>
      </c>
      <c r="V127" s="4">
        <v>0.57999999999999996</v>
      </c>
      <c r="W127" s="4">
        <v>1</v>
      </c>
      <c r="X127" s="4">
        <v>0.82</v>
      </c>
      <c r="Y127" s="4">
        <v>0.24</v>
      </c>
      <c r="Z127" s="4">
        <v>0.42</v>
      </c>
      <c r="AA127" s="3">
        <v>21</v>
      </c>
      <c r="AB127" s="3">
        <v>6</v>
      </c>
      <c r="AC127" s="5">
        <v>3.6</v>
      </c>
      <c r="AD127" s="4">
        <v>1</v>
      </c>
      <c r="AE127" s="4">
        <v>0.71</v>
      </c>
      <c r="AF127" s="4">
        <v>0.28999999999999998</v>
      </c>
      <c r="AG127" s="4">
        <v>0.28999999999999998</v>
      </c>
      <c r="AH127" s="4">
        <v>0.61</v>
      </c>
      <c r="AI127" s="4">
        <v>0</v>
      </c>
      <c r="AJ127" t="s">
        <v>72</v>
      </c>
      <c r="AK127" t="s">
        <v>86</v>
      </c>
      <c r="AL127" t="s">
        <v>62</v>
      </c>
      <c r="AM127" t="s">
        <v>73</v>
      </c>
      <c r="AN127" t="s">
        <v>97</v>
      </c>
      <c r="AO127" t="s">
        <v>74</v>
      </c>
      <c r="AP127" t="s">
        <v>75</v>
      </c>
    </row>
    <row r="128" spans="1:42" x14ac:dyDescent="0.25">
      <c r="A128" t="str">
        <f>HYPERLINK("HTTP://10.0.1.74/krs/263/detail","/krs/263")</f>
        <v>/krs/263</v>
      </c>
      <c r="B128">
        <v>263</v>
      </c>
      <c r="C128" t="s">
        <v>80</v>
      </c>
      <c r="D128" t="s">
        <v>81</v>
      </c>
      <c r="E128" t="s">
        <v>143</v>
      </c>
      <c r="F128" t="s">
        <v>89</v>
      </c>
      <c r="G128" s="1">
        <v>43019</v>
      </c>
      <c r="H128" t="s">
        <v>144</v>
      </c>
      <c r="I128" t="s">
        <v>51</v>
      </c>
      <c r="J128" t="s">
        <v>213</v>
      </c>
      <c r="K128" s="3">
        <v>524</v>
      </c>
      <c r="L128" s="3">
        <v>259</v>
      </c>
      <c r="M128" s="3">
        <v>783</v>
      </c>
      <c r="N128" s="4">
        <v>0.67</v>
      </c>
      <c r="O128" s="3">
        <v>27</v>
      </c>
      <c r="P128" s="3"/>
      <c r="Q128" s="3">
        <v>23</v>
      </c>
      <c r="R128" s="3">
        <v>27</v>
      </c>
      <c r="S128" s="5">
        <v>3.7</v>
      </c>
      <c r="T128" s="5">
        <v>3.9</v>
      </c>
      <c r="U128" s="4">
        <v>0.78</v>
      </c>
      <c r="V128" s="4">
        <v>0.67</v>
      </c>
      <c r="W128" s="4">
        <v>1</v>
      </c>
      <c r="X128" s="4">
        <v>0.91</v>
      </c>
      <c r="Y128" s="4">
        <v>0.85</v>
      </c>
      <c r="Z128" s="4">
        <v>0.33</v>
      </c>
      <c r="AA128" s="3">
        <v>27</v>
      </c>
      <c r="AB128" s="3">
        <v>13</v>
      </c>
      <c r="AC128" s="5">
        <v>3.7</v>
      </c>
      <c r="AD128" s="4">
        <v>1</v>
      </c>
      <c r="AE128" s="4">
        <v>0.74</v>
      </c>
      <c r="AF128" s="4">
        <v>0.48</v>
      </c>
      <c r="AG128" s="4">
        <v>0.26</v>
      </c>
      <c r="AH128" s="4">
        <v>0.69</v>
      </c>
      <c r="AI128" s="4">
        <v>0</v>
      </c>
      <c r="AJ128" t="s">
        <v>60</v>
      </c>
      <c r="AK128" t="s">
        <v>61</v>
      </c>
      <c r="AL128" t="s">
        <v>62</v>
      </c>
      <c r="AM128" t="s">
        <v>104</v>
      </c>
      <c r="AN128" t="s">
        <v>64</v>
      </c>
      <c r="AO128" t="s">
        <v>65</v>
      </c>
      <c r="AP128" t="s">
        <v>66</v>
      </c>
    </row>
    <row r="129" spans="1:42" x14ac:dyDescent="0.25">
      <c r="A129" t="str">
        <f>HYPERLINK("HTTP://10.0.1.74/krs/264/detail","/krs/264")</f>
        <v>/krs/264</v>
      </c>
      <c r="B129">
        <v>264</v>
      </c>
      <c r="C129" t="s">
        <v>80</v>
      </c>
      <c r="D129" t="s">
        <v>81</v>
      </c>
      <c r="E129" t="s">
        <v>143</v>
      </c>
      <c r="F129" t="s">
        <v>130</v>
      </c>
      <c r="G129" s="1">
        <v>43019</v>
      </c>
      <c r="H129" t="s">
        <v>144</v>
      </c>
      <c r="I129" t="s">
        <v>51</v>
      </c>
      <c r="J129" t="s">
        <v>215</v>
      </c>
      <c r="K129" s="3">
        <v>394</v>
      </c>
      <c r="L129" s="3">
        <v>518</v>
      </c>
      <c r="M129" s="3">
        <v>912</v>
      </c>
      <c r="N129" s="4">
        <v>0.43</v>
      </c>
      <c r="O129" s="3">
        <v>24</v>
      </c>
      <c r="P129" s="3"/>
      <c r="Q129" s="3">
        <v>6</v>
      </c>
      <c r="R129" s="3">
        <v>24</v>
      </c>
      <c r="S129" s="5">
        <v>2.7</v>
      </c>
      <c r="T129" s="5">
        <v>2.9</v>
      </c>
      <c r="U129" s="4">
        <v>0.57999999999999996</v>
      </c>
      <c r="V129" s="4">
        <v>0.43</v>
      </c>
      <c r="W129" s="4">
        <v>0.63</v>
      </c>
      <c r="X129" s="4">
        <v>0.63</v>
      </c>
      <c r="Y129" s="4">
        <v>0.25</v>
      </c>
      <c r="Z129" s="4">
        <v>0.56999999999999995</v>
      </c>
      <c r="AA129" s="3">
        <v>24</v>
      </c>
      <c r="AB129" s="3">
        <v>3</v>
      </c>
      <c r="AC129" s="5">
        <v>3.4</v>
      </c>
      <c r="AD129" s="4">
        <v>1</v>
      </c>
      <c r="AE129" s="4">
        <v>0.68</v>
      </c>
      <c r="AF129" s="4">
        <v>0.13</v>
      </c>
      <c r="AG129" s="4">
        <v>0.32</v>
      </c>
      <c r="AH129" s="4">
        <v>0.6</v>
      </c>
      <c r="AI129" s="4">
        <v>0</v>
      </c>
      <c r="AJ129" t="s">
        <v>60</v>
      </c>
      <c r="AK129" t="s">
        <v>86</v>
      </c>
      <c r="AL129" t="s">
        <v>61</v>
      </c>
      <c r="AM129" t="s">
        <v>73</v>
      </c>
      <c r="AN129" t="s">
        <v>64</v>
      </c>
      <c r="AO129" t="s">
        <v>74</v>
      </c>
      <c r="AP129" t="s">
        <v>75</v>
      </c>
    </row>
    <row r="130" spans="1:42" x14ac:dyDescent="0.25">
      <c r="A130" t="str">
        <f>HYPERLINK("HTTP://10.0.1.74/krs/265/detail","/krs/265")</f>
        <v>/krs/265</v>
      </c>
      <c r="B130">
        <v>265</v>
      </c>
      <c r="C130" t="s">
        <v>80</v>
      </c>
      <c r="D130" t="s">
        <v>81</v>
      </c>
      <c r="E130" t="s">
        <v>143</v>
      </c>
      <c r="F130" t="s">
        <v>90</v>
      </c>
      <c r="G130" s="1">
        <v>43017</v>
      </c>
      <c r="H130" t="s">
        <v>144</v>
      </c>
      <c r="I130" t="s">
        <v>51</v>
      </c>
      <c r="J130" t="s">
        <v>215</v>
      </c>
      <c r="K130" s="3">
        <v>462</v>
      </c>
      <c r="L130" s="3">
        <v>602</v>
      </c>
      <c r="M130" s="3">
        <v>1064</v>
      </c>
      <c r="N130" s="4">
        <v>0.43</v>
      </c>
      <c r="O130" s="3">
        <v>28</v>
      </c>
      <c r="P130" s="3"/>
      <c r="Q130" s="3">
        <v>6</v>
      </c>
      <c r="R130" s="3">
        <v>28</v>
      </c>
      <c r="S130" s="5">
        <v>2.7</v>
      </c>
      <c r="T130" s="5">
        <v>2.8</v>
      </c>
      <c r="U130" s="4">
        <v>0.56000000000000005</v>
      </c>
      <c r="V130" s="4">
        <v>0.43</v>
      </c>
      <c r="W130" s="4">
        <v>0.56999999999999995</v>
      </c>
      <c r="X130" s="4">
        <v>0.64</v>
      </c>
      <c r="Y130" s="4">
        <v>0.21</v>
      </c>
      <c r="Z130" s="4">
        <v>0.56999999999999995</v>
      </c>
      <c r="AA130" s="3">
        <v>28</v>
      </c>
      <c r="AB130" s="3">
        <v>5</v>
      </c>
      <c r="AC130" s="5">
        <v>3.4</v>
      </c>
      <c r="AD130" s="4">
        <v>0.96</v>
      </c>
      <c r="AE130" s="4">
        <v>0.67</v>
      </c>
      <c r="AF130" s="4">
        <v>0.18</v>
      </c>
      <c r="AG130" s="4">
        <v>0.33</v>
      </c>
      <c r="AH130" s="4">
        <v>0.64</v>
      </c>
      <c r="AI130" s="4">
        <v>0.13</v>
      </c>
      <c r="AJ130" t="s">
        <v>60</v>
      </c>
      <c r="AK130" t="s">
        <v>86</v>
      </c>
      <c r="AL130" t="s">
        <v>61</v>
      </c>
      <c r="AM130" t="s">
        <v>73</v>
      </c>
      <c r="AN130" t="s">
        <v>97</v>
      </c>
      <c r="AO130" t="s">
        <v>74</v>
      </c>
      <c r="AP130" t="s">
        <v>75</v>
      </c>
    </row>
    <row r="131" spans="1:42" x14ac:dyDescent="0.25">
      <c r="A131" t="str">
        <f>HYPERLINK("HTTP://10.0.1.74/krs/266/detail","/krs/266")</f>
        <v>/krs/266</v>
      </c>
      <c r="B131">
        <v>266</v>
      </c>
      <c r="C131" t="s">
        <v>46</v>
      </c>
      <c r="D131" t="s">
        <v>81</v>
      </c>
      <c r="E131" t="s">
        <v>68</v>
      </c>
      <c r="F131" t="s">
        <v>191</v>
      </c>
      <c r="G131" s="1">
        <v>43014</v>
      </c>
      <c r="H131" t="s">
        <v>210</v>
      </c>
      <c r="I131" t="s">
        <v>51</v>
      </c>
      <c r="J131" t="s">
        <v>216</v>
      </c>
      <c r="K131" s="3">
        <v>143</v>
      </c>
      <c r="L131" s="3">
        <v>65</v>
      </c>
      <c r="M131" s="3">
        <v>208</v>
      </c>
      <c r="N131" s="4">
        <v>0.69</v>
      </c>
      <c r="O131" s="3">
        <v>26</v>
      </c>
      <c r="P131" s="3"/>
      <c r="Q131" s="3">
        <v>20</v>
      </c>
      <c r="R131" s="3">
        <v>26</v>
      </c>
      <c r="S131" s="5">
        <v>3.8</v>
      </c>
      <c r="T131" s="5">
        <v>4</v>
      </c>
      <c r="U131" s="4">
        <v>0.8</v>
      </c>
      <c r="V131" s="4">
        <v>0.69</v>
      </c>
      <c r="W131" s="4">
        <v>0.85</v>
      </c>
      <c r="X131" s="4">
        <v>0</v>
      </c>
      <c r="Y131" s="4">
        <v>0.77</v>
      </c>
      <c r="Z131" s="4">
        <v>0.31</v>
      </c>
      <c r="AA131" s="3">
        <v>0</v>
      </c>
      <c r="AB131" s="3">
        <v>0</v>
      </c>
      <c r="AC131" s="5">
        <v>0</v>
      </c>
      <c r="AD131" s="4">
        <v>0</v>
      </c>
      <c r="AE131" s="4">
        <v>0</v>
      </c>
      <c r="AF131" s="4">
        <v>0</v>
      </c>
      <c r="AG131" s="4">
        <v>1</v>
      </c>
      <c r="AH131" s="4">
        <v>0.69</v>
      </c>
      <c r="AI131" s="4">
        <v>0</v>
      </c>
      <c r="AJ131" t="s">
        <v>60</v>
      </c>
      <c r="AK131" t="s">
        <v>61</v>
      </c>
      <c r="AL131" t="s">
        <v>62</v>
      </c>
      <c r="AM131" t="s">
        <v>63</v>
      </c>
      <c r="AN131" t="s">
        <v>64</v>
      </c>
      <c r="AO131" t="s">
        <v>79</v>
      </c>
      <c r="AP131" t="s">
        <v>75</v>
      </c>
    </row>
    <row r="132" spans="1:42" x14ac:dyDescent="0.25">
      <c r="A132" t="str">
        <f>HYPERLINK("HTTP://10.0.1.74/krs/267/detail","/krs/267")</f>
        <v>/krs/267</v>
      </c>
      <c r="B132">
        <v>267</v>
      </c>
      <c r="C132" t="s">
        <v>83</v>
      </c>
      <c r="D132" t="s">
        <v>81</v>
      </c>
      <c r="E132" t="s">
        <v>68</v>
      </c>
      <c r="F132" t="s">
        <v>191</v>
      </c>
      <c r="G132" s="1">
        <v>43032</v>
      </c>
      <c r="H132" t="s">
        <v>210</v>
      </c>
      <c r="I132" t="s">
        <v>51</v>
      </c>
      <c r="J132" t="s">
        <v>217</v>
      </c>
      <c r="K132" s="3">
        <v>100</v>
      </c>
      <c r="L132" s="3">
        <v>44</v>
      </c>
      <c r="M132" s="3">
        <v>144</v>
      </c>
      <c r="N132" s="4">
        <v>0.69</v>
      </c>
      <c r="O132" s="3">
        <v>24</v>
      </c>
      <c r="P132" s="3"/>
      <c r="Q132" s="3">
        <v>18</v>
      </c>
      <c r="R132" s="3">
        <v>24</v>
      </c>
      <c r="S132" s="5">
        <v>3.9</v>
      </c>
      <c r="T132" s="5">
        <v>3.8</v>
      </c>
      <c r="U132" s="4">
        <v>0.77</v>
      </c>
      <c r="V132" s="4">
        <v>0.69</v>
      </c>
      <c r="W132" s="4">
        <v>0.92</v>
      </c>
      <c r="X132" s="4">
        <v>0</v>
      </c>
      <c r="Y132" s="4">
        <v>0.75</v>
      </c>
      <c r="Z132" s="4">
        <v>0.31</v>
      </c>
      <c r="AA132" s="3">
        <v>0</v>
      </c>
      <c r="AB132" s="3">
        <v>0</v>
      </c>
      <c r="AC132" s="5">
        <v>0</v>
      </c>
      <c r="AD132" s="4">
        <v>0</v>
      </c>
      <c r="AE132" s="4">
        <v>0</v>
      </c>
      <c r="AF132" s="4">
        <v>0</v>
      </c>
      <c r="AG132" s="4">
        <v>1</v>
      </c>
      <c r="AH132" s="4">
        <v>0.7</v>
      </c>
      <c r="AI132" s="4">
        <v>0</v>
      </c>
      <c r="AJ132" t="s">
        <v>72</v>
      </c>
      <c r="AK132" t="s">
        <v>61</v>
      </c>
      <c r="AL132" t="s">
        <v>62</v>
      </c>
      <c r="AM132" t="s">
        <v>63</v>
      </c>
      <c r="AN132" t="s">
        <v>64</v>
      </c>
      <c r="AO132" t="s">
        <v>79</v>
      </c>
      <c r="AP132" t="s">
        <v>75</v>
      </c>
    </row>
    <row r="133" spans="1:42" x14ac:dyDescent="0.25">
      <c r="A133" t="str">
        <f>HYPERLINK("HTTP://10.0.1.74/krs/268/detail","/krs/268")</f>
        <v>/krs/268</v>
      </c>
      <c r="B133">
        <v>268</v>
      </c>
      <c r="C133" t="s">
        <v>46</v>
      </c>
      <c r="D133" t="s">
        <v>81</v>
      </c>
      <c r="E133" t="s">
        <v>68</v>
      </c>
      <c r="F133" t="s">
        <v>147</v>
      </c>
      <c r="G133" s="1">
        <v>43012</v>
      </c>
      <c r="H133" t="s">
        <v>210</v>
      </c>
      <c r="I133" t="s">
        <v>51</v>
      </c>
      <c r="J133" t="s">
        <v>218</v>
      </c>
      <c r="K133" s="3">
        <v>171</v>
      </c>
      <c r="L133" s="3">
        <v>45</v>
      </c>
      <c r="M133" s="3">
        <v>216</v>
      </c>
      <c r="N133" s="4">
        <v>0.79</v>
      </c>
      <c r="O133" s="3">
        <v>27</v>
      </c>
      <c r="P133" s="3"/>
      <c r="Q133" s="3">
        <v>25</v>
      </c>
      <c r="R133" s="3">
        <v>27</v>
      </c>
      <c r="S133" s="5">
        <v>4.2</v>
      </c>
      <c r="T133" s="5">
        <v>4.3</v>
      </c>
      <c r="U133" s="4">
        <v>0.87</v>
      </c>
      <c r="V133" s="4">
        <v>0.79</v>
      </c>
      <c r="W133" s="4">
        <v>0.96</v>
      </c>
      <c r="X133" s="4">
        <v>0</v>
      </c>
      <c r="Y133" s="4">
        <v>0.93</v>
      </c>
      <c r="Z133" s="4">
        <v>0.21</v>
      </c>
      <c r="AA133" s="3">
        <v>0</v>
      </c>
      <c r="AB133" s="3">
        <v>0</v>
      </c>
      <c r="AC133" s="5">
        <v>0</v>
      </c>
      <c r="AD133" s="4">
        <v>0</v>
      </c>
      <c r="AE133" s="4">
        <v>0</v>
      </c>
      <c r="AF133" s="4">
        <v>0</v>
      </c>
      <c r="AG133" s="4">
        <v>1</v>
      </c>
      <c r="AH133" s="4">
        <v>0.83</v>
      </c>
      <c r="AI133" s="4">
        <v>0.67</v>
      </c>
      <c r="AJ133" t="s">
        <v>72</v>
      </c>
      <c r="AK133" t="s">
        <v>62</v>
      </c>
      <c r="AL133" t="s">
        <v>62</v>
      </c>
      <c r="AM133" t="s">
        <v>63</v>
      </c>
      <c r="AN133" t="s">
        <v>64</v>
      </c>
      <c r="AO133" t="s">
        <v>79</v>
      </c>
      <c r="AP133" t="s">
        <v>75</v>
      </c>
    </row>
    <row r="134" spans="1:42" x14ac:dyDescent="0.25">
      <c r="A134" t="str">
        <f>HYPERLINK("HTTP://10.0.1.74/krs/269/detail","/krs/269")</f>
        <v>/krs/269</v>
      </c>
      <c r="B134">
        <v>269</v>
      </c>
      <c r="C134" t="s">
        <v>83</v>
      </c>
      <c r="D134" t="s">
        <v>81</v>
      </c>
      <c r="E134" t="s">
        <v>68</v>
      </c>
      <c r="F134" t="s">
        <v>147</v>
      </c>
      <c r="G134" s="1">
        <v>43027</v>
      </c>
      <c r="H134" t="s">
        <v>210</v>
      </c>
      <c r="I134" t="s">
        <v>51</v>
      </c>
      <c r="J134" t="s">
        <v>219</v>
      </c>
      <c r="K134" s="3">
        <v>111</v>
      </c>
      <c r="L134" s="3">
        <v>45</v>
      </c>
      <c r="M134" s="3">
        <v>156</v>
      </c>
      <c r="N134" s="4">
        <v>0.71</v>
      </c>
      <c r="O134" s="3">
        <v>26</v>
      </c>
      <c r="P134" s="3"/>
      <c r="Q134" s="3">
        <v>18</v>
      </c>
      <c r="R134" s="3">
        <v>26</v>
      </c>
      <c r="S134" s="5">
        <v>3.9</v>
      </c>
      <c r="T134" s="5">
        <v>3.9</v>
      </c>
      <c r="U134" s="4">
        <v>0.78</v>
      </c>
      <c r="V134" s="4">
        <v>0.71</v>
      </c>
      <c r="W134" s="4">
        <v>0.96</v>
      </c>
      <c r="X134" s="4">
        <v>0</v>
      </c>
      <c r="Y134" s="4">
        <v>0.69</v>
      </c>
      <c r="Z134" s="4">
        <v>0.28999999999999998</v>
      </c>
      <c r="AA134" s="3">
        <v>0</v>
      </c>
      <c r="AB134" s="3">
        <v>0</v>
      </c>
      <c r="AC134" s="5">
        <v>0</v>
      </c>
      <c r="AD134" s="4">
        <v>0</v>
      </c>
      <c r="AE134" s="4">
        <v>0</v>
      </c>
      <c r="AF134" s="4">
        <v>0</v>
      </c>
      <c r="AG134" s="4">
        <v>1</v>
      </c>
      <c r="AH134" s="4">
        <v>0.71</v>
      </c>
      <c r="AI134" s="4">
        <v>0</v>
      </c>
      <c r="AJ134" t="s">
        <v>72</v>
      </c>
      <c r="AK134" t="s">
        <v>62</v>
      </c>
      <c r="AL134" t="s">
        <v>62</v>
      </c>
      <c r="AM134" t="s">
        <v>63</v>
      </c>
      <c r="AN134" t="s">
        <v>64</v>
      </c>
      <c r="AO134" t="s">
        <v>79</v>
      </c>
      <c r="AP134" t="s">
        <v>75</v>
      </c>
    </row>
    <row r="135" spans="1:42" x14ac:dyDescent="0.25">
      <c r="A135" t="str">
        <f>HYPERLINK("HTTP://10.0.1.74/krs/270/detail","/krs/270")</f>
        <v>/krs/270</v>
      </c>
      <c r="B135">
        <v>270</v>
      </c>
      <c r="C135" t="s">
        <v>80</v>
      </c>
      <c r="D135" t="s">
        <v>81</v>
      </c>
      <c r="E135" t="s">
        <v>143</v>
      </c>
      <c r="F135" t="s">
        <v>149</v>
      </c>
      <c r="G135" s="1">
        <v>43017</v>
      </c>
      <c r="H135" t="s">
        <v>144</v>
      </c>
      <c r="I135" t="s">
        <v>51</v>
      </c>
      <c r="J135" t="s">
        <v>215</v>
      </c>
      <c r="K135" s="3">
        <v>502</v>
      </c>
      <c r="L135" s="3">
        <v>486</v>
      </c>
      <c r="M135" s="3">
        <v>988</v>
      </c>
      <c r="N135" s="4">
        <v>0.51</v>
      </c>
      <c r="O135" s="3">
        <v>26</v>
      </c>
      <c r="P135" s="3"/>
      <c r="Q135" s="3">
        <v>9</v>
      </c>
      <c r="R135" s="3">
        <v>26</v>
      </c>
      <c r="S135" s="5">
        <v>3</v>
      </c>
      <c r="T135" s="5">
        <v>3</v>
      </c>
      <c r="U135" s="4">
        <v>0.6</v>
      </c>
      <c r="V135" s="4">
        <v>0.51</v>
      </c>
      <c r="W135" s="4">
        <v>0.65</v>
      </c>
      <c r="X135" s="4">
        <v>0.71</v>
      </c>
      <c r="Y135" s="4">
        <v>0.35</v>
      </c>
      <c r="Z135" s="4">
        <v>0.49</v>
      </c>
      <c r="AA135" s="3">
        <v>26</v>
      </c>
      <c r="AB135" s="3">
        <v>13</v>
      </c>
      <c r="AC135" s="5">
        <v>3.6</v>
      </c>
      <c r="AD135" s="4">
        <v>1</v>
      </c>
      <c r="AE135" s="4">
        <v>0.72</v>
      </c>
      <c r="AF135" s="4">
        <v>0.5</v>
      </c>
      <c r="AG135" s="4">
        <v>0.28000000000000003</v>
      </c>
      <c r="AH135" s="4">
        <v>0.62</v>
      </c>
      <c r="AI135" s="4">
        <v>0</v>
      </c>
      <c r="AJ135" t="s">
        <v>72</v>
      </c>
      <c r="AK135" t="s">
        <v>86</v>
      </c>
      <c r="AL135" t="s">
        <v>61</v>
      </c>
      <c r="AM135" t="s">
        <v>73</v>
      </c>
      <c r="AN135" t="s">
        <v>64</v>
      </c>
      <c r="AO135" t="s">
        <v>74</v>
      </c>
      <c r="AP135" t="s">
        <v>75</v>
      </c>
    </row>
    <row r="136" spans="1:42" x14ac:dyDescent="0.25">
      <c r="A136" t="str">
        <f>HYPERLINK("HTTP://10.0.1.74/krs/271/detail","/krs/271")</f>
        <v>/krs/271</v>
      </c>
      <c r="B136">
        <v>271</v>
      </c>
      <c r="C136" t="s">
        <v>80</v>
      </c>
      <c r="D136" t="s">
        <v>81</v>
      </c>
      <c r="E136" t="s">
        <v>143</v>
      </c>
      <c r="F136" t="s">
        <v>69</v>
      </c>
      <c r="G136" s="1">
        <v>43017</v>
      </c>
      <c r="H136" t="s">
        <v>144</v>
      </c>
      <c r="I136" t="s">
        <v>51</v>
      </c>
      <c r="J136" t="s">
        <v>215</v>
      </c>
      <c r="K136" s="3">
        <v>522</v>
      </c>
      <c r="L136" s="3">
        <v>390</v>
      </c>
      <c r="M136" s="3">
        <v>912</v>
      </c>
      <c r="N136" s="4">
        <v>0.56999999999999995</v>
      </c>
      <c r="O136" s="3">
        <v>24</v>
      </c>
      <c r="P136" s="3"/>
      <c r="Q136" s="3">
        <v>10</v>
      </c>
      <c r="R136" s="3">
        <v>24</v>
      </c>
      <c r="S136" s="5">
        <v>3.3</v>
      </c>
      <c r="T136" s="5">
        <v>3.4</v>
      </c>
      <c r="U136" s="4">
        <v>0.68</v>
      </c>
      <c r="V136" s="4">
        <v>0.56999999999999995</v>
      </c>
      <c r="W136" s="4">
        <v>0.88</v>
      </c>
      <c r="X136" s="4">
        <v>0.75</v>
      </c>
      <c r="Y136" s="4">
        <v>0.42</v>
      </c>
      <c r="Z136" s="4">
        <v>0.43</v>
      </c>
      <c r="AA136" s="3">
        <v>24</v>
      </c>
      <c r="AB136" s="3">
        <v>13</v>
      </c>
      <c r="AC136" s="5">
        <v>3.8</v>
      </c>
      <c r="AD136" s="4">
        <v>1</v>
      </c>
      <c r="AE136" s="4">
        <v>0.76</v>
      </c>
      <c r="AF136" s="4">
        <v>0.54</v>
      </c>
      <c r="AG136" s="4">
        <v>0.24</v>
      </c>
      <c r="AH136" s="4">
        <v>0.67</v>
      </c>
      <c r="AI136" s="4">
        <v>0</v>
      </c>
      <c r="AJ136" t="s">
        <v>60</v>
      </c>
      <c r="AK136" t="s">
        <v>86</v>
      </c>
      <c r="AL136" t="s">
        <v>62</v>
      </c>
      <c r="AM136" t="s">
        <v>73</v>
      </c>
      <c r="AN136" t="s">
        <v>64</v>
      </c>
      <c r="AO136" t="s">
        <v>74</v>
      </c>
      <c r="AP136" t="s">
        <v>75</v>
      </c>
    </row>
    <row r="137" spans="1:42" x14ac:dyDescent="0.25">
      <c r="A137" t="str">
        <f>HYPERLINK("HTTP://10.0.1.74/krs/272/detail","/krs/272")</f>
        <v>/krs/272</v>
      </c>
      <c r="B137">
        <v>272</v>
      </c>
      <c r="C137" t="s">
        <v>46</v>
      </c>
      <c r="D137" t="s">
        <v>81</v>
      </c>
      <c r="E137" t="s">
        <v>68</v>
      </c>
      <c r="F137" t="s">
        <v>118</v>
      </c>
      <c r="G137" s="1">
        <v>43012</v>
      </c>
      <c r="H137" t="s">
        <v>210</v>
      </c>
      <c r="I137" t="s">
        <v>51</v>
      </c>
      <c r="J137" t="s">
        <v>220</v>
      </c>
      <c r="K137" s="3">
        <v>158</v>
      </c>
      <c r="L137" s="3">
        <v>66</v>
      </c>
      <c r="M137" s="3">
        <v>224</v>
      </c>
      <c r="N137" s="4">
        <v>0.71</v>
      </c>
      <c r="O137" s="3">
        <v>28</v>
      </c>
      <c r="P137" s="3"/>
      <c r="Q137" s="3">
        <v>20</v>
      </c>
      <c r="R137" s="3">
        <v>28</v>
      </c>
      <c r="S137" s="5">
        <v>3.8</v>
      </c>
      <c r="T137" s="5">
        <v>4</v>
      </c>
      <c r="U137" s="4">
        <v>0.8</v>
      </c>
      <c r="V137" s="4">
        <v>0.71</v>
      </c>
      <c r="W137" s="4">
        <v>1</v>
      </c>
      <c r="X137" s="4">
        <v>0</v>
      </c>
      <c r="Y137" s="4">
        <v>0.71</v>
      </c>
      <c r="Z137" s="4">
        <v>0.28999999999999998</v>
      </c>
      <c r="AA137" s="3">
        <v>0</v>
      </c>
      <c r="AB137" s="3">
        <v>0</v>
      </c>
      <c r="AC137" s="5">
        <v>0</v>
      </c>
      <c r="AD137" s="4">
        <v>0</v>
      </c>
      <c r="AE137" s="4">
        <v>0</v>
      </c>
      <c r="AF137" s="4">
        <v>0</v>
      </c>
      <c r="AG137" s="4">
        <v>1</v>
      </c>
      <c r="AH137" s="4">
        <v>0.73</v>
      </c>
      <c r="AI137" s="4">
        <v>0.65</v>
      </c>
      <c r="AJ137" t="s">
        <v>72</v>
      </c>
      <c r="AK137" t="s">
        <v>62</v>
      </c>
      <c r="AL137" t="s">
        <v>62</v>
      </c>
      <c r="AM137" t="s">
        <v>63</v>
      </c>
      <c r="AN137" t="s">
        <v>64</v>
      </c>
      <c r="AO137" t="s">
        <v>79</v>
      </c>
      <c r="AP137" t="s">
        <v>75</v>
      </c>
    </row>
    <row r="138" spans="1:42" x14ac:dyDescent="0.25">
      <c r="A138" t="str">
        <f>HYPERLINK("HTTP://10.0.1.74/krs/273/detail","/krs/273")</f>
        <v>/krs/273</v>
      </c>
      <c r="B138">
        <v>273</v>
      </c>
      <c r="C138" t="s">
        <v>83</v>
      </c>
      <c r="D138" t="s">
        <v>81</v>
      </c>
      <c r="E138" t="s">
        <v>68</v>
      </c>
      <c r="F138" t="s">
        <v>118</v>
      </c>
      <c r="G138" s="1">
        <v>43028</v>
      </c>
      <c r="H138" t="s">
        <v>210</v>
      </c>
      <c r="I138" t="s">
        <v>51</v>
      </c>
      <c r="J138" t="s">
        <v>217</v>
      </c>
      <c r="K138" s="3">
        <v>123</v>
      </c>
      <c r="L138" s="3">
        <v>39</v>
      </c>
      <c r="M138" s="3">
        <v>162</v>
      </c>
      <c r="N138" s="4">
        <v>0.76</v>
      </c>
      <c r="O138" s="3">
        <v>27</v>
      </c>
      <c r="P138" s="3"/>
      <c r="Q138" s="3">
        <v>23</v>
      </c>
      <c r="R138" s="3">
        <v>27</v>
      </c>
      <c r="S138" s="5">
        <v>4</v>
      </c>
      <c r="T138" s="5">
        <v>4.0999999999999996</v>
      </c>
      <c r="U138" s="4">
        <v>0.81</v>
      </c>
      <c r="V138" s="4">
        <v>0.76</v>
      </c>
      <c r="W138" s="4">
        <v>0.93</v>
      </c>
      <c r="X138" s="4">
        <v>0</v>
      </c>
      <c r="Y138" s="4">
        <v>0.85</v>
      </c>
      <c r="Z138" s="4">
        <v>0.24</v>
      </c>
      <c r="AA138" s="3">
        <v>0</v>
      </c>
      <c r="AB138" s="3">
        <v>0</v>
      </c>
      <c r="AC138" s="5">
        <v>0</v>
      </c>
      <c r="AD138" s="4">
        <v>0</v>
      </c>
      <c r="AE138" s="4">
        <v>0</v>
      </c>
      <c r="AF138" s="4">
        <v>0</v>
      </c>
      <c r="AG138" s="4">
        <v>1</v>
      </c>
      <c r="AH138" s="4">
        <v>0.76</v>
      </c>
      <c r="AI138" s="4">
        <v>0</v>
      </c>
      <c r="AJ138" t="s">
        <v>72</v>
      </c>
      <c r="AK138" t="s">
        <v>62</v>
      </c>
      <c r="AL138" t="s">
        <v>62</v>
      </c>
      <c r="AM138" t="s">
        <v>63</v>
      </c>
      <c r="AN138" t="s">
        <v>64</v>
      </c>
      <c r="AO138" t="s">
        <v>79</v>
      </c>
      <c r="AP138" t="s">
        <v>75</v>
      </c>
    </row>
    <row r="139" spans="1:42" x14ac:dyDescent="0.25">
      <c r="A139" t="str">
        <f>HYPERLINK("HTTP://10.0.1.74/krs/274/detail","/krs/274")</f>
        <v>/krs/274</v>
      </c>
      <c r="B139">
        <v>274</v>
      </c>
      <c r="C139" t="s">
        <v>83</v>
      </c>
      <c r="D139" t="s">
        <v>81</v>
      </c>
      <c r="E139" t="s">
        <v>68</v>
      </c>
      <c r="F139" t="s">
        <v>136</v>
      </c>
      <c r="G139" s="1">
        <v>43011</v>
      </c>
      <c r="H139" t="s">
        <v>210</v>
      </c>
      <c r="I139" t="s">
        <v>51</v>
      </c>
      <c r="J139" t="s">
        <v>221</v>
      </c>
      <c r="K139" s="3">
        <v>93</v>
      </c>
      <c r="L139" s="3">
        <v>171</v>
      </c>
      <c r="M139" s="3">
        <v>264</v>
      </c>
      <c r="N139" s="4">
        <v>0.35</v>
      </c>
      <c r="O139" s="3">
        <v>24</v>
      </c>
      <c r="P139" s="3"/>
      <c r="Q139" s="3">
        <v>6</v>
      </c>
      <c r="R139" s="3">
        <v>24</v>
      </c>
      <c r="S139" s="5">
        <v>2.5</v>
      </c>
      <c r="T139" s="5">
        <v>2.6</v>
      </c>
      <c r="U139" s="4">
        <v>0.53</v>
      </c>
      <c r="V139" s="4">
        <v>0.35</v>
      </c>
      <c r="W139" s="4">
        <v>0.38</v>
      </c>
      <c r="X139" s="4">
        <v>0</v>
      </c>
      <c r="Y139" s="4">
        <v>0.25</v>
      </c>
      <c r="Z139" s="4">
        <v>0.65</v>
      </c>
      <c r="AA139" s="3">
        <v>0</v>
      </c>
      <c r="AB139" s="3">
        <v>0</v>
      </c>
      <c r="AC139" s="5">
        <v>0</v>
      </c>
      <c r="AD139" s="4">
        <v>0</v>
      </c>
      <c r="AE139" s="4">
        <v>0</v>
      </c>
      <c r="AF139" s="4">
        <v>0</v>
      </c>
      <c r="AG139" s="4">
        <v>1</v>
      </c>
      <c r="AH139" s="4">
        <v>0.52</v>
      </c>
      <c r="AI139" s="4">
        <v>0.18</v>
      </c>
      <c r="AJ139" t="s">
        <v>60</v>
      </c>
      <c r="AK139" t="s">
        <v>86</v>
      </c>
      <c r="AL139" t="s">
        <v>86</v>
      </c>
      <c r="AM139" t="s">
        <v>63</v>
      </c>
      <c r="AN139" t="s">
        <v>64</v>
      </c>
      <c r="AO139" t="s">
        <v>79</v>
      </c>
      <c r="AP139" t="s">
        <v>75</v>
      </c>
    </row>
    <row r="140" spans="1:42" x14ac:dyDescent="0.25">
      <c r="A140" t="str">
        <f>HYPERLINK("HTTP://10.0.1.74/krs/275/detail","/krs/275")</f>
        <v>/krs/275</v>
      </c>
      <c r="B140">
        <v>275</v>
      </c>
      <c r="C140" t="s">
        <v>84</v>
      </c>
      <c r="D140" t="s">
        <v>81</v>
      </c>
      <c r="E140" t="s">
        <v>68</v>
      </c>
      <c r="F140" t="s">
        <v>136</v>
      </c>
      <c r="G140" s="1">
        <v>43033</v>
      </c>
      <c r="H140" t="s">
        <v>210</v>
      </c>
      <c r="I140" t="s">
        <v>51</v>
      </c>
      <c r="J140" t="s">
        <v>222</v>
      </c>
      <c r="K140" s="3">
        <v>259</v>
      </c>
      <c r="L140" s="3">
        <v>77</v>
      </c>
      <c r="M140" s="3">
        <v>336</v>
      </c>
      <c r="N140" s="4">
        <v>0.77</v>
      </c>
      <c r="O140" s="3">
        <v>24</v>
      </c>
      <c r="P140" s="3"/>
      <c r="Q140" s="3">
        <v>18</v>
      </c>
      <c r="R140" s="3">
        <v>24</v>
      </c>
      <c r="S140" s="5">
        <v>4.0999999999999996</v>
      </c>
      <c r="T140" s="5">
        <v>4</v>
      </c>
      <c r="U140" s="4">
        <v>0.81</v>
      </c>
      <c r="V140" s="4">
        <v>0.77</v>
      </c>
      <c r="W140" s="4">
        <v>0.88</v>
      </c>
      <c r="X140" s="4">
        <v>0</v>
      </c>
      <c r="Y140" s="4">
        <v>0.75</v>
      </c>
      <c r="Z140" s="4">
        <v>0.23</v>
      </c>
      <c r="AA140" s="3">
        <v>0</v>
      </c>
      <c r="AB140" s="3">
        <v>0</v>
      </c>
      <c r="AC140" s="5">
        <v>0</v>
      </c>
      <c r="AD140" s="4">
        <v>0</v>
      </c>
      <c r="AE140" s="4">
        <v>0</v>
      </c>
      <c r="AF140" s="4">
        <v>0</v>
      </c>
      <c r="AG140" s="4">
        <v>1</v>
      </c>
      <c r="AH140" s="4">
        <v>0.78</v>
      </c>
      <c r="AI140" s="4">
        <v>0.85</v>
      </c>
      <c r="AJ140" t="s">
        <v>72</v>
      </c>
      <c r="AK140" t="s">
        <v>62</v>
      </c>
      <c r="AL140" t="s">
        <v>62</v>
      </c>
      <c r="AM140" t="s">
        <v>63</v>
      </c>
      <c r="AN140" t="s">
        <v>64</v>
      </c>
      <c r="AO140" t="s">
        <v>79</v>
      </c>
      <c r="AP140" t="s">
        <v>75</v>
      </c>
    </row>
    <row r="141" spans="1:42" x14ac:dyDescent="0.25">
      <c r="A141" t="str">
        <f>HYPERLINK("HTTP://10.0.1.74/krs/276/detail","/krs/276")</f>
        <v>/krs/276</v>
      </c>
      <c r="B141">
        <v>276</v>
      </c>
      <c r="C141" t="s">
        <v>83</v>
      </c>
      <c r="D141" t="s">
        <v>81</v>
      </c>
      <c r="E141" t="s">
        <v>68</v>
      </c>
      <c r="F141" t="s">
        <v>131</v>
      </c>
      <c r="G141" s="1">
        <v>43007</v>
      </c>
      <c r="H141" t="s">
        <v>210</v>
      </c>
      <c r="I141" t="s">
        <v>51</v>
      </c>
      <c r="J141" t="s">
        <v>221</v>
      </c>
      <c r="K141" s="3">
        <v>88</v>
      </c>
      <c r="L141" s="3">
        <v>99</v>
      </c>
      <c r="M141" s="3">
        <v>187</v>
      </c>
      <c r="N141" s="4">
        <v>0.47</v>
      </c>
      <c r="O141" s="3">
        <v>17</v>
      </c>
      <c r="P141" s="3"/>
      <c r="Q141" s="3">
        <v>5</v>
      </c>
      <c r="R141" s="3">
        <v>17</v>
      </c>
      <c r="S141" s="5">
        <v>2.9</v>
      </c>
      <c r="T141" s="5">
        <v>3.1</v>
      </c>
      <c r="U141" s="4">
        <v>0.61</v>
      </c>
      <c r="V141" s="4">
        <v>0.47</v>
      </c>
      <c r="W141" s="4">
        <v>0.76</v>
      </c>
      <c r="X141" s="4">
        <v>0</v>
      </c>
      <c r="Y141" s="4">
        <v>0.28999999999999998</v>
      </c>
      <c r="Z141" s="4">
        <v>0.53</v>
      </c>
      <c r="AA141" s="3">
        <v>0</v>
      </c>
      <c r="AB141" s="3">
        <v>0</v>
      </c>
      <c r="AC141" s="5">
        <v>0</v>
      </c>
      <c r="AD141" s="4">
        <v>0</v>
      </c>
      <c r="AE141" s="4">
        <v>0</v>
      </c>
      <c r="AF141" s="4">
        <v>0</v>
      </c>
      <c r="AG141" s="4">
        <v>1</v>
      </c>
      <c r="AH141" s="4">
        <v>0.64</v>
      </c>
      <c r="AI141" s="4">
        <v>0.31</v>
      </c>
      <c r="AJ141" t="s">
        <v>60</v>
      </c>
      <c r="AK141" t="s">
        <v>86</v>
      </c>
      <c r="AL141" t="s">
        <v>62</v>
      </c>
      <c r="AM141" t="s">
        <v>63</v>
      </c>
      <c r="AN141" t="s">
        <v>64</v>
      </c>
      <c r="AO141" t="s">
        <v>79</v>
      </c>
      <c r="AP141" t="s">
        <v>75</v>
      </c>
    </row>
    <row r="142" spans="1:42" x14ac:dyDescent="0.25">
      <c r="A142" t="str">
        <f>HYPERLINK("HTTP://10.0.1.74/krs/277/detail","/krs/277")</f>
        <v>/krs/277</v>
      </c>
      <c r="B142">
        <v>277</v>
      </c>
      <c r="C142" t="s">
        <v>84</v>
      </c>
      <c r="D142" t="s">
        <v>81</v>
      </c>
      <c r="E142" t="s">
        <v>68</v>
      </c>
      <c r="F142" t="s">
        <v>131</v>
      </c>
      <c r="G142" s="1">
        <v>43032</v>
      </c>
      <c r="H142" t="s">
        <v>210</v>
      </c>
      <c r="I142" t="s">
        <v>51</v>
      </c>
      <c r="J142" t="s">
        <v>223</v>
      </c>
      <c r="K142" s="3">
        <v>182</v>
      </c>
      <c r="L142" s="3">
        <v>52</v>
      </c>
      <c r="M142" s="3">
        <v>234</v>
      </c>
      <c r="N142" s="4">
        <v>0.78</v>
      </c>
      <c r="O142" s="3">
        <v>18</v>
      </c>
      <c r="P142" s="3"/>
      <c r="Q142" s="3">
        <v>14</v>
      </c>
      <c r="R142" s="3">
        <v>18</v>
      </c>
      <c r="S142" s="5">
        <v>4.0999999999999996</v>
      </c>
      <c r="T142" s="5">
        <v>4.0999999999999996</v>
      </c>
      <c r="U142" s="4">
        <v>0.81</v>
      </c>
      <c r="V142" s="4">
        <v>0.78</v>
      </c>
      <c r="W142" s="4">
        <v>0.94</v>
      </c>
      <c r="X142" s="4">
        <v>0</v>
      </c>
      <c r="Y142" s="4">
        <v>0.78</v>
      </c>
      <c r="Z142" s="4">
        <v>0.22</v>
      </c>
      <c r="AA142" s="3">
        <v>0</v>
      </c>
      <c r="AB142" s="3">
        <v>0</v>
      </c>
      <c r="AC142" s="5">
        <v>0</v>
      </c>
      <c r="AD142" s="4">
        <v>0</v>
      </c>
      <c r="AE142" s="4">
        <v>0</v>
      </c>
      <c r="AF142" s="4">
        <v>0</v>
      </c>
      <c r="AG142" s="4">
        <v>1</v>
      </c>
      <c r="AH142" s="4">
        <v>0.85</v>
      </c>
      <c r="AI142" s="4">
        <v>0.65</v>
      </c>
      <c r="AJ142" t="s">
        <v>72</v>
      </c>
      <c r="AK142" t="s">
        <v>62</v>
      </c>
      <c r="AL142" t="s">
        <v>62</v>
      </c>
      <c r="AM142" t="s">
        <v>63</v>
      </c>
      <c r="AN142" t="s">
        <v>64</v>
      </c>
      <c r="AO142" t="s">
        <v>79</v>
      </c>
      <c r="AP142" t="s">
        <v>75</v>
      </c>
    </row>
    <row r="143" spans="1:42" x14ac:dyDescent="0.25">
      <c r="A143" t="str">
        <f>HYPERLINK("HTTP://10.0.1.74/krs/278/detail","/krs/278")</f>
        <v>/krs/278</v>
      </c>
      <c r="B143">
        <v>278</v>
      </c>
      <c r="C143" t="s">
        <v>80</v>
      </c>
      <c r="D143" t="s">
        <v>81</v>
      </c>
      <c r="E143" t="s">
        <v>125</v>
      </c>
      <c r="F143" t="s">
        <v>108</v>
      </c>
      <c r="G143" s="1">
        <v>43028</v>
      </c>
      <c r="H143" t="s">
        <v>127</v>
      </c>
      <c r="I143" t="s">
        <v>51</v>
      </c>
      <c r="K143" s="3">
        <v>87</v>
      </c>
      <c r="L143" s="3">
        <v>53</v>
      </c>
      <c r="M143" s="3">
        <v>140</v>
      </c>
      <c r="N143" s="4">
        <v>0.62</v>
      </c>
      <c r="O143" s="3">
        <v>14</v>
      </c>
      <c r="P143" s="3"/>
      <c r="Q143" s="3">
        <v>6</v>
      </c>
      <c r="R143" s="3">
        <v>14</v>
      </c>
      <c r="S143" s="5">
        <v>3.5</v>
      </c>
      <c r="T143" s="5">
        <v>3.4</v>
      </c>
      <c r="U143" s="4">
        <v>0.69</v>
      </c>
      <c r="V143" s="4">
        <v>0.62</v>
      </c>
      <c r="W143" s="4">
        <v>0.93</v>
      </c>
      <c r="X143" s="4">
        <v>0</v>
      </c>
      <c r="Y143" s="4">
        <v>0.43</v>
      </c>
      <c r="Z143" s="4">
        <v>0.38</v>
      </c>
      <c r="AA143" s="3">
        <v>0</v>
      </c>
      <c r="AB143" s="3">
        <v>0</v>
      </c>
      <c r="AC143" s="5">
        <v>0</v>
      </c>
      <c r="AD143" s="4">
        <v>0</v>
      </c>
      <c r="AE143" s="4">
        <v>0</v>
      </c>
      <c r="AF143" s="4">
        <v>0</v>
      </c>
      <c r="AG143" s="4">
        <v>1</v>
      </c>
      <c r="AH143" s="4">
        <v>0.63</v>
      </c>
      <c r="AI143" s="4">
        <v>0</v>
      </c>
      <c r="AJ143" t="s">
        <v>72</v>
      </c>
      <c r="AK143" t="s">
        <v>61</v>
      </c>
      <c r="AL143" t="s">
        <v>62</v>
      </c>
      <c r="AM143" t="s">
        <v>63</v>
      </c>
      <c r="AN143" t="s">
        <v>64</v>
      </c>
      <c r="AO143" t="s">
        <v>79</v>
      </c>
      <c r="AP143" t="s">
        <v>75</v>
      </c>
    </row>
    <row r="144" spans="1:42" x14ac:dyDescent="0.25">
      <c r="A144" t="str">
        <f>HYPERLINK("HTTP://10.0.1.74/krs/279/detail","/krs/279")</f>
        <v>/krs/279</v>
      </c>
      <c r="B144">
        <v>279</v>
      </c>
      <c r="C144" t="s">
        <v>83</v>
      </c>
      <c r="D144" t="s">
        <v>81</v>
      </c>
      <c r="E144" t="s">
        <v>68</v>
      </c>
      <c r="F144" t="s">
        <v>175</v>
      </c>
      <c r="G144" s="1">
        <v>43054.562291666669</v>
      </c>
      <c r="H144" t="s">
        <v>224</v>
      </c>
      <c r="I144" t="s">
        <v>51</v>
      </c>
      <c r="K144" s="3">
        <v>193</v>
      </c>
      <c r="L144" s="3">
        <v>54</v>
      </c>
      <c r="M144" s="3">
        <v>247</v>
      </c>
      <c r="N144" s="4">
        <v>0.78</v>
      </c>
      <c r="O144" s="3">
        <v>19</v>
      </c>
      <c r="P144" s="3"/>
      <c r="Q144" s="3">
        <v>0</v>
      </c>
      <c r="R144" s="3">
        <v>19</v>
      </c>
      <c r="S144" s="5">
        <v>4.0999999999999996</v>
      </c>
      <c r="T144" s="5">
        <v>1</v>
      </c>
      <c r="U144" s="4">
        <v>0.2</v>
      </c>
      <c r="V144" s="4">
        <v>0.78</v>
      </c>
      <c r="W144" s="4">
        <v>0</v>
      </c>
      <c r="X144" s="4">
        <v>0</v>
      </c>
      <c r="Y144" s="4">
        <v>0</v>
      </c>
      <c r="Z144" s="4">
        <v>0.22</v>
      </c>
      <c r="AA144" s="3">
        <v>0</v>
      </c>
      <c r="AB144" s="3">
        <v>0</v>
      </c>
      <c r="AC144" s="5">
        <v>0</v>
      </c>
      <c r="AD144" s="4">
        <v>0</v>
      </c>
      <c r="AE144" s="4">
        <v>0</v>
      </c>
      <c r="AF144" s="4">
        <v>0</v>
      </c>
      <c r="AG144" s="4">
        <v>1</v>
      </c>
      <c r="AH144" s="4">
        <v>0.79</v>
      </c>
      <c r="AI144" s="4">
        <v>0</v>
      </c>
      <c r="AJ144" t="s">
        <v>60</v>
      </c>
      <c r="AK144" t="s">
        <v>62</v>
      </c>
      <c r="AL144" t="s">
        <v>86</v>
      </c>
      <c r="AM144" t="s">
        <v>63</v>
      </c>
      <c r="AN144" t="s">
        <v>97</v>
      </c>
      <c r="AO144" t="s">
        <v>79</v>
      </c>
      <c r="AP144" t="s">
        <v>75</v>
      </c>
    </row>
    <row r="145" spans="1:42" x14ac:dyDescent="0.25">
      <c r="A145" t="str">
        <f>HYPERLINK("HTTP://10.0.1.74/krs/280/detail","/krs/280")</f>
        <v>/krs/280</v>
      </c>
      <c r="B145">
        <v>280</v>
      </c>
      <c r="C145" t="s">
        <v>84</v>
      </c>
      <c r="D145" t="s">
        <v>81</v>
      </c>
      <c r="E145" t="s">
        <v>68</v>
      </c>
      <c r="F145" t="s">
        <v>126</v>
      </c>
      <c r="G145" s="1">
        <v>43059.505486111113</v>
      </c>
      <c r="H145" t="s">
        <v>70</v>
      </c>
      <c r="I145" t="s">
        <v>51</v>
      </c>
      <c r="J145" t="s">
        <v>225</v>
      </c>
      <c r="K145" s="3">
        <v>559</v>
      </c>
      <c r="L145" s="3">
        <v>379</v>
      </c>
      <c r="M145" s="3">
        <v>938</v>
      </c>
      <c r="N145" s="4">
        <v>0.6</v>
      </c>
      <c r="O145" s="3">
        <v>67</v>
      </c>
      <c r="P145" s="3"/>
      <c r="Q145" s="3">
        <v>30</v>
      </c>
      <c r="R145" s="3">
        <v>67</v>
      </c>
      <c r="S145" s="5">
        <v>3.4</v>
      </c>
      <c r="T145" s="5">
        <v>3.4</v>
      </c>
      <c r="U145" s="4">
        <v>0.67</v>
      </c>
      <c r="V145" s="4">
        <v>0.6</v>
      </c>
      <c r="W145" s="4">
        <v>0.9</v>
      </c>
      <c r="X145" s="4">
        <v>0.86</v>
      </c>
      <c r="Y145" s="4">
        <v>0.45</v>
      </c>
      <c r="Z145" s="4">
        <v>0.4</v>
      </c>
      <c r="AA145" s="3">
        <v>67</v>
      </c>
      <c r="AB145" s="3">
        <v>28</v>
      </c>
      <c r="AC145" s="5">
        <v>3.5</v>
      </c>
      <c r="AD145" s="4">
        <v>0.82</v>
      </c>
      <c r="AE145" s="4">
        <v>0.7</v>
      </c>
      <c r="AF145" s="4">
        <v>0.42</v>
      </c>
      <c r="AG145" s="4">
        <v>0.3</v>
      </c>
      <c r="AH145" s="4">
        <v>0.59</v>
      </c>
      <c r="AI145" s="4">
        <v>0</v>
      </c>
      <c r="AJ145" t="s">
        <v>72</v>
      </c>
      <c r="AK145" t="s">
        <v>61</v>
      </c>
      <c r="AL145" t="s">
        <v>62</v>
      </c>
      <c r="AM145" t="s">
        <v>104</v>
      </c>
      <c r="AN145" t="s">
        <v>97</v>
      </c>
      <c r="AO145" t="s">
        <v>74</v>
      </c>
      <c r="AP145" t="s">
        <v>75</v>
      </c>
    </row>
    <row r="146" spans="1:42" x14ac:dyDescent="0.25">
      <c r="A146" t="str">
        <f>HYPERLINK("HTTP://10.0.1.74/krs/281/detail","/krs/281")</f>
        <v>/krs/281</v>
      </c>
      <c r="B146">
        <v>281</v>
      </c>
      <c r="C146" t="s">
        <v>53</v>
      </c>
      <c r="D146" t="s">
        <v>81</v>
      </c>
      <c r="E146" t="s">
        <v>125</v>
      </c>
      <c r="F146" t="s">
        <v>110</v>
      </c>
      <c r="G146" s="1">
        <v>43054</v>
      </c>
      <c r="H146" t="s">
        <v>127</v>
      </c>
      <c r="I146" t="s">
        <v>51</v>
      </c>
      <c r="J146" t="s">
        <v>226</v>
      </c>
      <c r="K146" s="3">
        <v>175</v>
      </c>
      <c r="L146" s="3">
        <v>140</v>
      </c>
      <c r="M146" s="3">
        <v>315</v>
      </c>
      <c r="N146" s="4">
        <v>0.56000000000000005</v>
      </c>
      <c r="O146" s="3">
        <v>15</v>
      </c>
      <c r="P146" s="3"/>
      <c r="Q146" s="3">
        <v>8</v>
      </c>
      <c r="R146" s="3">
        <v>15</v>
      </c>
      <c r="S146" s="5">
        <v>3.3</v>
      </c>
      <c r="T146" s="5">
        <v>3.4</v>
      </c>
      <c r="U146" s="4">
        <v>0.68</v>
      </c>
      <c r="V146" s="4">
        <v>0.56000000000000005</v>
      </c>
      <c r="W146" s="4">
        <v>0.8</v>
      </c>
      <c r="X146" s="4">
        <v>0</v>
      </c>
      <c r="Y146" s="4">
        <v>0.53</v>
      </c>
      <c r="Z146" s="4">
        <v>0.44</v>
      </c>
      <c r="AA146" s="3">
        <v>0</v>
      </c>
      <c r="AB146" s="3">
        <v>0</v>
      </c>
      <c r="AC146" s="5">
        <v>0</v>
      </c>
      <c r="AD146" s="4">
        <v>0</v>
      </c>
      <c r="AE146" s="4">
        <v>0</v>
      </c>
      <c r="AF146" s="4">
        <v>0</v>
      </c>
      <c r="AG146" s="4">
        <v>1</v>
      </c>
      <c r="AH146" s="4">
        <v>0.55000000000000004</v>
      </c>
      <c r="AI146" s="4">
        <v>0</v>
      </c>
      <c r="AJ146" t="s">
        <v>60</v>
      </c>
      <c r="AK146" t="s">
        <v>86</v>
      </c>
      <c r="AL146" t="s">
        <v>62</v>
      </c>
      <c r="AM146" t="s">
        <v>63</v>
      </c>
      <c r="AN146" t="s">
        <v>64</v>
      </c>
      <c r="AO146" t="s">
        <v>79</v>
      </c>
      <c r="AP146" t="s">
        <v>75</v>
      </c>
    </row>
    <row r="147" spans="1:42" x14ac:dyDescent="0.25">
      <c r="A147" t="str">
        <f>HYPERLINK("HTTP://10.0.1.74/krs/283/detail","/krs/283")</f>
        <v>/krs/283</v>
      </c>
      <c r="B147">
        <v>283</v>
      </c>
      <c r="C147" t="s">
        <v>53</v>
      </c>
      <c r="D147" t="s">
        <v>81</v>
      </c>
      <c r="E147" t="s">
        <v>125</v>
      </c>
      <c r="F147" t="s">
        <v>211</v>
      </c>
      <c r="G147" s="1">
        <v>43054</v>
      </c>
      <c r="H147" t="s">
        <v>127</v>
      </c>
      <c r="I147" t="s">
        <v>51</v>
      </c>
      <c r="J147" t="s">
        <v>227</v>
      </c>
      <c r="K147" s="3">
        <v>133</v>
      </c>
      <c r="L147" s="3">
        <v>98</v>
      </c>
      <c r="M147" s="3">
        <v>231</v>
      </c>
      <c r="N147" s="4">
        <v>0.57999999999999996</v>
      </c>
      <c r="O147" s="3">
        <v>11</v>
      </c>
      <c r="P147" s="3"/>
      <c r="Q147" s="3">
        <v>5</v>
      </c>
      <c r="R147" s="3">
        <v>11</v>
      </c>
      <c r="S147" s="5">
        <v>3.3</v>
      </c>
      <c r="T147" s="5">
        <v>3.4</v>
      </c>
      <c r="U147" s="4">
        <v>0.67</v>
      </c>
      <c r="V147" s="4">
        <v>0.57999999999999996</v>
      </c>
      <c r="W147" s="4">
        <v>0.91</v>
      </c>
      <c r="X147" s="4">
        <v>0</v>
      </c>
      <c r="Y147" s="4">
        <v>0.45</v>
      </c>
      <c r="Z147" s="4">
        <v>0.42</v>
      </c>
      <c r="AA147" s="3">
        <v>0</v>
      </c>
      <c r="AB147" s="3">
        <v>0</v>
      </c>
      <c r="AC147" s="5">
        <v>0</v>
      </c>
      <c r="AD147" s="4">
        <v>0</v>
      </c>
      <c r="AE147" s="4">
        <v>0</v>
      </c>
      <c r="AF147" s="4">
        <v>0</v>
      </c>
      <c r="AG147" s="4">
        <v>1</v>
      </c>
      <c r="AH147" s="4">
        <v>0.56999999999999995</v>
      </c>
      <c r="AI147" s="4">
        <v>0</v>
      </c>
      <c r="AJ147" t="s">
        <v>72</v>
      </c>
      <c r="AK147" t="s">
        <v>86</v>
      </c>
      <c r="AL147" t="s">
        <v>62</v>
      </c>
      <c r="AM147" t="s">
        <v>63</v>
      </c>
      <c r="AN147" t="s">
        <v>64</v>
      </c>
      <c r="AO147" t="s">
        <v>79</v>
      </c>
      <c r="AP147" t="s">
        <v>75</v>
      </c>
    </row>
    <row r="148" spans="1:42" x14ac:dyDescent="0.25">
      <c r="A148" t="str">
        <f>HYPERLINK("HTTP://10.0.1.74/krs/284/detail","/krs/284")</f>
        <v>/krs/284</v>
      </c>
      <c r="B148">
        <v>284</v>
      </c>
      <c r="C148" t="s">
        <v>53</v>
      </c>
      <c r="D148" t="s">
        <v>81</v>
      </c>
      <c r="E148" t="s">
        <v>125</v>
      </c>
      <c r="F148" t="s">
        <v>162</v>
      </c>
      <c r="G148" s="1">
        <v>43054</v>
      </c>
      <c r="H148" t="s">
        <v>127</v>
      </c>
      <c r="I148" t="s">
        <v>51</v>
      </c>
      <c r="J148" t="s">
        <v>227</v>
      </c>
      <c r="K148" s="3">
        <v>166</v>
      </c>
      <c r="L148" s="3">
        <v>86</v>
      </c>
      <c r="M148" s="3">
        <v>252</v>
      </c>
      <c r="N148" s="4">
        <v>0.66</v>
      </c>
      <c r="O148" s="3">
        <v>12</v>
      </c>
      <c r="P148" s="3"/>
      <c r="Q148" s="3">
        <v>8</v>
      </c>
      <c r="R148" s="3">
        <v>12</v>
      </c>
      <c r="S148" s="5">
        <v>3.7</v>
      </c>
      <c r="T148" s="5">
        <v>3.7</v>
      </c>
      <c r="U148" s="4">
        <v>0.73</v>
      </c>
      <c r="V148" s="4">
        <v>0.66</v>
      </c>
      <c r="W148" s="4">
        <v>0.92</v>
      </c>
      <c r="X148" s="4">
        <v>0</v>
      </c>
      <c r="Y148" s="4">
        <v>0.67</v>
      </c>
      <c r="Z148" s="4">
        <v>0.34</v>
      </c>
      <c r="AA148" s="3">
        <v>0</v>
      </c>
      <c r="AB148" s="3">
        <v>0</v>
      </c>
      <c r="AC148" s="5">
        <v>0</v>
      </c>
      <c r="AD148" s="4">
        <v>0</v>
      </c>
      <c r="AE148" s="4">
        <v>0</v>
      </c>
      <c r="AF148" s="4">
        <v>0</v>
      </c>
      <c r="AG148" s="4">
        <v>1</v>
      </c>
      <c r="AH148" s="4">
        <v>0.65</v>
      </c>
      <c r="AI148" s="4">
        <v>0</v>
      </c>
      <c r="AJ148" t="s">
        <v>72</v>
      </c>
      <c r="AK148" t="s">
        <v>61</v>
      </c>
      <c r="AL148" t="s">
        <v>62</v>
      </c>
      <c r="AM148" t="s">
        <v>63</v>
      </c>
      <c r="AN148" t="s">
        <v>64</v>
      </c>
      <c r="AO148" t="s">
        <v>79</v>
      </c>
      <c r="AP148" t="s">
        <v>75</v>
      </c>
    </row>
    <row r="149" spans="1:42" x14ac:dyDescent="0.25">
      <c r="A149" t="str">
        <f>HYPERLINK("HTTP://10.0.1.74/krs/285/detail","/krs/285")</f>
        <v>/krs/285</v>
      </c>
      <c r="B149">
        <v>285</v>
      </c>
      <c r="C149" t="s">
        <v>46</v>
      </c>
      <c r="D149" t="s">
        <v>228</v>
      </c>
      <c r="E149" t="s">
        <v>111</v>
      </c>
      <c r="F149" t="s">
        <v>131</v>
      </c>
      <c r="G149" s="1">
        <v>43061.416643518518</v>
      </c>
      <c r="H149" t="s">
        <v>229</v>
      </c>
      <c r="I149" t="s">
        <v>230</v>
      </c>
      <c r="K149" s="3">
        <v>112</v>
      </c>
      <c r="L149" s="3">
        <v>168</v>
      </c>
      <c r="M149" s="3">
        <v>280</v>
      </c>
      <c r="N149" s="4">
        <v>0.4</v>
      </c>
      <c r="O149" s="3">
        <v>14</v>
      </c>
      <c r="P149" s="3"/>
      <c r="Q149" s="3">
        <v>1</v>
      </c>
      <c r="R149" s="3">
        <v>14</v>
      </c>
      <c r="S149" s="5">
        <v>2.6</v>
      </c>
      <c r="T149" s="5">
        <v>2.7</v>
      </c>
      <c r="U149" s="4">
        <v>0.54</v>
      </c>
      <c r="V149" s="4">
        <v>0.4</v>
      </c>
      <c r="W149" s="4">
        <v>0.64</v>
      </c>
      <c r="X149" s="4">
        <v>0.48</v>
      </c>
      <c r="Y149" s="4">
        <v>7.0000000000000007E-2</v>
      </c>
      <c r="Z149" s="4">
        <v>0.6</v>
      </c>
      <c r="AA149" s="3">
        <v>14</v>
      </c>
      <c r="AB149" s="3">
        <v>11</v>
      </c>
      <c r="AC149" s="5">
        <v>4.0999999999999996</v>
      </c>
      <c r="AD149" s="4">
        <v>1</v>
      </c>
      <c r="AE149" s="4">
        <v>0.83</v>
      </c>
      <c r="AF149" s="4">
        <v>0.79</v>
      </c>
      <c r="AG149" s="4">
        <v>0.17</v>
      </c>
      <c r="AH149" s="4">
        <v>0.46</v>
      </c>
      <c r="AI149" s="4">
        <v>0</v>
      </c>
      <c r="AJ149" t="s">
        <v>60</v>
      </c>
      <c r="AK149" t="s">
        <v>86</v>
      </c>
      <c r="AL149" t="s">
        <v>61</v>
      </c>
      <c r="AM149" t="s">
        <v>73</v>
      </c>
      <c r="AN149" t="s">
        <v>64</v>
      </c>
      <c r="AO149" t="s">
        <v>74</v>
      </c>
      <c r="AP149" t="s">
        <v>75</v>
      </c>
    </row>
    <row r="150" spans="1:42" x14ac:dyDescent="0.25">
      <c r="A150" t="str">
        <f>HYPERLINK("HTTP://10.0.1.74/krs/286/detail","/krs/286")</f>
        <v>/krs/286</v>
      </c>
      <c r="B150">
        <v>286</v>
      </c>
      <c r="C150" t="s">
        <v>53</v>
      </c>
      <c r="D150" t="s">
        <v>228</v>
      </c>
      <c r="E150" t="s">
        <v>160</v>
      </c>
      <c r="F150" t="s">
        <v>131</v>
      </c>
      <c r="G150" s="1">
        <v>43061.577917083334</v>
      </c>
      <c r="H150" t="s">
        <v>128</v>
      </c>
      <c r="I150" t="s">
        <v>51</v>
      </c>
      <c r="K150" s="3">
        <v>184</v>
      </c>
      <c r="L150" s="3">
        <v>54</v>
      </c>
      <c r="M150" s="3">
        <v>238</v>
      </c>
      <c r="N150" s="4">
        <v>0.77</v>
      </c>
      <c r="O150" s="3">
        <v>17</v>
      </c>
      <c r="P150" s="3"/>
      <c r="Q150" s="3">
        <v>17</v>
      </c>
      <c r="R150" s="3">
        <v>17</v>
      </c>
      <c r="S150" s="5">
        <v>4.0999999999999996</v>
      </c>
      <c r="T150" s="5">
        <v>4.0999999999999996</v>
      </c>
      <c r="U150" s="4">
        <v>0.82</v>
      </c>
      <c r="V150" s="4">
        <v>0.77</v>
      </c>
      <c r="W150" s="4">
        <v>1</v>
      </c>
      <c r="X150" s="4">
        <v>0.93</v>
      </c>
      <c r="Y150" s="4">
        <v>1</v>
      </c>
      <c r="Z150" s="4">
        <v>0.23</v>
      </c>
      <c r="AA150" s="3">
        <v>17</v>
      </c>
      <c r="AB150" s="3">
        <v>15</v>
      </c>
      <c r="AC150" s="5">
        <v>4.0999999999999996</v>
      </c>
      <c r="AD150" s="4">
        <v>1</v>
      </c>
      <c r="AE150" s="4">
        <v>0.83</v>
      </c>
      <c r="AF150" s="4">
        <v>0.88</v>
      </c>
      <c r="AG150" s="4">
        <v>0.17</v>
      </c>
      <c r="AH150" s="4">
        <v>0.78</v>
      </c>
      <c r="AI150" s="4">
        <v>0.74</v>
      </c>
      <c r="AJ150" t="s">
        <v>72</v>
      </c>
      <c r="AK150" t="s">
        <v>62</v>
      </c>
      <c r="AL150" t="s">
        <v>62</v>
      </c>
      <c r="AM150" t="s">
        <v>104</v>
      </c>
      <c r="AN150" t="s">
        <v>64</v>
      </c>
      <c r="AO150" t="s">
        <v>65</v>
      </c>
      <c r="AP150" t="s">
        <v>66</v>
      </c>
    </row>
    <row r="151" spans="1:42" x14ac:dyDescent="0.25">
      <c r="A151" t="str">
        <f>HYPERLINK("HTTP://10.0.1.74/krs/287/detail","/krs/287")</f>
        <v>/krs/287</v>
      </c>
      <c r="B151">
        <v>287</v>
      </c>
      <c r="C151" t="s">
        <v>53</v>
      </c>
      <c r="D151" t="s">
        <v>228</v>
      </c>
      <c r="E151" t="s">
        <v>143</v>
      </c>
      <c r="F151" t="s">
        <v>131</v>
      </c>
      <c r="G151" s="1">
        <v>43055</v>
      </c>
      <c r="H151" t="s">
        <v>231</v>
      </c>
      <c r="I151" t="s">
        <v>51</v>
      </c>
      <c r="K151" s="3">
        <v>304</v>
      </c>
      <c r="L151" s="3">
        <v>121</v>
      </c>
      <c r="M151" s="3">
        <v>425</v>
      </c>
      <c r="N151" s="4">
        <v>0.72</v>
      </c>
      <c r="O151" s="3">
        <v>17</v>
      </c>
      <c r="P151" s="3"/>
      <c r="Q151" s="3">
        <v>11</v>
      </c>
      <c r="R151" s="3">
        <v>17</v>
      </c>
      <c r="S151" s="5">
        <v>3.9</v>
      </c>
      <c r="T151" s="5">
        <v>3.8</v>
      </c>
      <c r="U151" s="4">
        <v>0.76</v>
      </c>
      <c r="V151" s="4">
        <v>0.72</v>
      </c>
      <c r="W151" s="4">
        <v>0.94</v>
      </c>
      <c r="X151" s="4">
        <v>0.95</v>
      </c>
      <c r="Y151" s="4">
        <v>0.65</v>
      </c>
      <c r="Z151" s="4">
        <v>0.28000000000000003</v>
      </c>
      <c r="AA151" s="3">
        <v>16</v>
      </c>
      <c r="AB151" s="3">
        <v>8</v>
      </c>
      <c r="AC151" s="5">
        <v>3.8</v>
      </c>
      <c r="AD151" s="4">
        <v>0.94</v>
      </c>
      <c r="AE151" s="4">
        <v>0.76</v>
      </c>
      <c r="AF151" s="4">
        <v>0.5</v>
      </c>
      <c r="AG151" s="4">
        <v>0.24</v>
      </c>
      <c r="AH151" s="4">
        <v>0.71</v>
      </c>
      <c r="AI151" s="4">
        <v>0</v>
      </c>
      <c r="AJ151" t="s">
        <v>72</v>
      </c>
      <c r="AK151" t="s">
        <v>62</v>
      </c>
      <c r="AL151" t="s">
        <v>62</v>
      </c>
      <c r="AM151" t="s">
        <v>63</v>
      </c>
      <c r="AN151" t="s">
        <v>64</v>
      </c>
      <c r="AO151" t="s">
        <v>79</v>
      </c>
      <c r="AP151" t="s">
        <v>66</v>
      </c>
    </row>
    <row r="152" spans="1:42" x14ac:dyDescent="0.25">
      <c r="A152" t="str">
        <f>HYPERLINK("HTTP://10.0.1.74/krs/290/detail","/krs/290")</f>
        <v>/krs/290</v>
      </c>
      <c r="B152">
        <v>290</v>
      </c>
      <c r="C152" t="s">
        <v>83</v>
      </c>
      <c r="D152" t="s">
        <v>81</v>
      </c>
      <c r="E152" t="s">
        <v>68</v>
      </c>
      <c r="F152" t="s">
        <v>175</v>
      </c>
      <c r="G152" s="1">
        <v>43014</v>
      </c>
      <c r="H152" t="s">
        <v>224</v>
      </c>
      <c r="I152" t="s">
        <v>51</v>
      </c>
      <c r="K152" s="3"/>
      <c r="L152" s="3"/>
      <c r="M152" s="3"/>
      <c r="N152" s="4"/>
      <c r="O152" s="3"/>
      <c r="P152" s="3"/>
      <c r="Q152" s="3"/>
      <c r="R152" s="3"/>
      <c r="S152" s="5"/>
      <c r="T152" s="5"/>
      <c r="U152" s="4"/>
      <c r="V152" s="4"/>
      <c r="W152" s="4"/>
      <c r="X152" s="4"/>
      <c r="Y152" s="4"/>
      <c r="Z152" s="4"/>
      <c r="AA152" s="3"/>
      <c r="AB152" s="3"/>
      <c r="AC152" s="5"/>
      <c r="AD152" s="4"/>
      <c r="AE152" s="4"/>
      <c r="AF152" s="4"/>
      <c r="AG152" s="4"/>
      <c r="AH152" s="4"/>
      <c r="AI152" s="4"/>
      <c r="AJ152" t="s">
        <v>52</v>
      </c>
      <c r="AK152" t="s">
        <v>52</v>
      </c>
      <c r="AL152" t="s">
        <v>52</v>
      </c>
      <c r="AM152" t="s">
        <v>52</v>
      </c>
      <c r="AN152" t="s">
        <v>52</v>
      </c>
      <c r="AO152" t="s">
        <v>52</v>
      </c>
      <c r="AP152" t="s">
        <v>52</v>
      </c>
    </row>
    <row r="153" spans="1:42" x14ac:dyDescent="0.25">
      <c r="A153" t="str">
        <f>HYPERLINK("HTTP://10.0.1.74/krs/291/detail","/krs/291")</f>
        <v>/krs/291</v>
      </c>
      <c r="B153">
        <v>291</v>
      </c>
      <c r="C153" t="s">
        <v>46</v>
      </c>
      <c r="D153" t="s">
        <v>81</v>
      </c>
      <c r="E153" t="s">
        <v>87</v>
      </c>
      <c r="F153" t="s">
        <v>118</v>
      </c>
      <c r="G153" s="1">
        <v>43064.407893518517</v>
      </c>
      <c r="H153" t="s">
        <v>231</v>
      </c>
      <c r="I153" t="s">
        <v>51</v>
      </c>
      <c r="J153" t="s">
        <v>232</v>
      </c>
      <c r="K153" s="3">
        <v>447</v>
      </c>
      <c r="L153" s="3">
        <v>201</v>
      </c>
      <c r="M153" s="3">
        <v>648</v>
      </c>
      <c r="N153" s="4">
        <v>0.69</v>
      </c>
      <c r="O153" s="3">
        <v>27</v>
      </c>
      <c r="P153" s="3"/>
      <c r="Q153" s="3">
        <v>17</v>
      </c>
      <c r="R153" s="3">
        <v>27</v>
      </c>
      <c r="S153" s="5">
        <v>3.8</v>
      </c>
      <c r="T153" s="5">
        <v>3.8</v>
      </c>
      <c r="U153" s="4">
        <v>0.76</v>
      </c>
      <c r="V153" s="4">
        <v>0.69</v>
      </c>
      <c r="W153" s="4">
        <v>0.96</v>
      </c>
      <c r="X153" s="4">
        <v>0.91</v>
      </c>
      <c r="Y153" s="4">
        <v>0.63</v>
      </c>
      <c r="Z153" s="4">
        <v>0.31</v>
      </c>
      <c r="AA153" s="3">
        <v>27</v>
      </c>
      <c r="AB153" s="3">
        <v>14</v>
      </c>
      <c r="AC153" s="5">
        <v>3.8</v>
      </c>
      <c r="AD153" s="4">
        <v>1</v>
      </c>
      <c r="AE153" s="4">
        <v>0.76</v>
      </c>
      <c r="AF153" s="4">
        <v>0.52</v>
      </c>
      <c r="AG153" s="4">
        <v>0.24</v>
      </c>
      <c r="AH153" s="4">
        <v>0.7</v>
      </c>
      <c r="AI153" s="4">
        <v>0</v>
      </c>
      <c r="AJ153" t="s">
        <v>72</v>
      </c>
      <c r="AK153" t="s">
        <v>61</v>
      </c>
      <c r="AL153" t="s">
        <v>62</v>
      </c>
      <c r="AM153" t="s">
        <v>104</v>
      </c>
      <c r="AN153" t="s">
        <v>64</v>
      </c>
      <c r="AO153" t="s">
        <v>65</v>
      </c>
      <c r="AP153" t="s">
        <v>66</v>
      </c>
    </row>
    <row r="154" spans="1:42" x14ac:dyDescent="0.25">
      <c r="A154" t="str">
        <f>HYPERLINK("HTTP://10.0.1.74/krs/292/detail","/krs/292")</f>
        <v>/krs/292</v>
      </c>
      <c r="B154">
        <v>292</v>
      </c>
      <c r="C154" t="s">
        <v>91</v>
      </c>
      <c r="D154" t="s">
        <v>81</v>
      </c>
      <c r="E154" t="s">
        <v>68</v>
      </c>
      <c r="F154" t="s">
        <v>175</v>
      </c>
      <c r="G154" s="1">
        <v>43062</v>
      </c>
      <c r="H154" t="s">
        <v>224</v>
      </c>
      <c r="I154" t="s">
        <v>51</v>
      </c>
      <c r="K154" s="3">
        <v>97</v>
      </c>
      <c r="L154" s="3">
        <v>56</v>
      </c>
      <c r="M154" s="3">
        <v>153</v>
      </c>
      <c r="N154" s="4">
        <v>0.63</v>
      </c>
      <c r="O154" s="3">
        <v>17</v>
      </c>
      <c r="P154" s="3"/>
      <c r="Q154" s="3">
        <v>12</v>
      </c>
      <c r="R154" s="3">
        <v>17</v>
      </c>
      <c r="S154" s="5">
        <v>3.6</v>
      </c>
      <c r="T154" s="5">
        <v>3.6</v>
      </c>
      <c r="U154" s="4">
        <v>0.73</v>
      </c>
      <c r="V154" s="4">
        <v>0.63</v>
      </c>
      <c r="W154" s="4">
        <v>0.82</v>
      </c>
      <c r="X154" s="4">
        <v>0</v>
      </c>
      <c r="Y154" s="4">
        <v>0.71</v>
      </c>
      <c r="Z154" s="4">
        <v>0.37</v>
      </c>
      <c r="AA154" s="3">
        <v>0</v>
      </c>
      <c r="AB154" s="3">
        <v>0</v>
      </c>
      <c r="AC154" s="5">
        <v>0</v>
      </c>
      <c r="AD154" s="4">
        <v>0</v>
      </c>
      <c r="AE154" s="4">
        <v>0</v>
      </c>
      <c r="AF154" s="4">
        <v>0</v>
      </c>
      <c r="AG154" s="4">
        <v>1</v>
      </c>
      <c r="AH154" s="4">
        <v>0.65</v>
      </c>
      <c r="AI154" s="4">
        <v>0</v>
      </c>
      <c r="AJ154" t="s">
        <v>60</v>
      </c>
      <c r="AK154" t="s">
        <v>61</v>
      </c>
      <c r="AL154" t="s">
        <v>62</v>
      </c>
      <c r="AM154" t="s">
        <v>63</v>
      </c>
      <c r="AN154" t="s">
        <v>64</v>
      </c>
      <c r="AO154" t="s">
        <v>79</v>
      </c>
      <c r="AP154" t="s">
        <v>75</v>
      </c>
    </row>
    <row r="155" spans="1:42" x14ac:dyDescent="0.25">
      <c r="A155" t="str">
        <f>HYPERLINK("HTTP://10.0.1.74/krs/293/detail","/krs/293")</f>
        <v>/krs/293</v>
      </c>
      <c r="B155">
        <v>293</v>
      </c>
      <c r="C155" t="s">
        <v>46</v>
      </c>
      <c r="D155" t="s">
        <v>81</v>
      </c>
      <c r="E155" t="s">
        <v>157</v>
      </c>
      <c r="F155" t="s">
        <v>233</v>
      </c>
      <c r="G155" s="1">
        <v>43062</v>
      </c>
      <c r="H155" t="s">
        <v>158</v>
      </c>
      <c r="I155" t="s">
        <v>51</v>
      </c>
      <c r="J155" t="s">
        <v>234</v>
      </c>
      <c r="K155" s="3">
        <v>183</v>
      </c>
      <c r="L155" s="3">
        <v>132</v>
      </c>
      <c r="M155" s="3">
        <v>315</v>
      </c>
      <c r="N155" s="4">
        <v>0.57999999999999996</v>
      </c>
      <c r="O155" s="3">
        <v>21</v>
      </c>
      <c r="P155" s="3"/>
      <c r="Q155" s="3">
        <v>10</v>
      </c>
      <c r="R155" s="3">
        <v>21</v>
      </c>
      <c r="S155" s="5">
        <v>3.3</v>
      </c>
      <c r="T155" s="5">
        <v>3.3</v>
      </c>
      <c r="U155" s="4">
        <v>0.67</v>
      </c>
      <c r="V155" s="4">
        <v>0.57999999999999996</v>
      </c>
      <c r="W155" s="4">
        <v>0.81</v>
      </c>
      <c r="X155" s="4">
        <v>0.74</v>
      </c>
      <c r="Y155" s="4">
        <v>0.48</v>
      </c>
      <c r="Z155" s="4">
        <v>0.42</v>
      </c>
      <c r="AA155" s="3">
        <v>21</v>
      </c>
      <c r="AB155" s="3">
        <v>14</v>
      </c>
      <c r="AC155" s="5">
        <v>3.9</v>
      </c>
      <c r="AD155" s="4">
        <v>0.95</v>
      </c>
      <c r="AE155" s="4">
        <v>0.78</v>
      </c>
      <c r="AF155" s="4">
        <v>0.67</v>
      </c>
      <c r="AG155" s="4">
        <v>0.22</v>
      </c>
      <c r="AH155" s="4">
        <v>0.57999999999999996</v>
      </c>
      <c r="AI155" s="4">
        <v>0</v>
      </c>
      <c r="AJ155" t="s">
        <v>72</v>
      </c>
      <c r="AK155" t="s">
        <v>86</v>
      </c>
      <c r="AL155" t="s">
        <v>62</v>
      </c>
      <c r="AM155" t="s">
        <v>73</v>
      </c>
      <c r="AN155" t="s">
        <v>64</v>
      </c>
      <c r="AO155" t="s">
        <v>74</v>
      </c>
      <c r="AP155" t="s">
        <v>75</v>
      </c>
    </row>
    <row r="156" spans="1:42" x14ac:dyDescent="0.25">
      <c r="A156" t="str">
        <f>HYPERLINK("HTTP://10.0.1.74/krs/294/detail","/krs/294")</f>
        <v>/krs/294</v>
      </c>
      <c r="B156">
        <v>294</v>
      </c>
      <c r="C156" t="s">
        <v>84</v>
      </c>
      <c r="D156" t="s">
        <v>81</v>
      </c>
      <c r="E156" t="s">
        <v>68</v>
      </c>
      <c r="F156" t="s">
        <v>130</v>
      </c>
      <c r="G156" s="1">
        <v>43065.736388888887</v>
      </c>
      <c r="H156" t="s">
        <v>70</v>
      </c>
      <c r="I156" t="s">
        <v>51</v>
      </c>
      <c r="J156" t="s">
        <v>235</v>
      </c>
      <c r="K156" s="3">
        <v>111</v>
      </c>
      <c r="L156" s="3">
        <v>189</v>
      </c>
      <c r="M156" s="3">
        <v>300</v>
      </c>
      <c r="N156" s="4">
        <v>0.37</v>
      </c>
      <c r="O156" s="3">
        <v>25</v>
      </c>
      <c r="P156" s="3"/>
      <c r="Q156" s="3">
        <v>5</v>
      </c>
      <c r="R156" s="3">
        <v>25</v>
      </c>
      <c r="S156" s="5">
        <v>2.6</v>
      </c>
      <c r="T156" s="5">
        <v>2.6</v>
      </c>
      <c r="U156" s="4">
        <v>0.53</v>
      </c>
      <c r="V156" s="4">
        <v>0.37</v>
      </c>
      <c r="W156" s="4">
        <v>0.52</v>
      </c>
      <c r="X156" s="4">
        <v>0.59</v>
      </c>
      <c r="Y156" s="4">
        <v>0.2</v>
      </c>
      <c r="Z156" s="4">
        <v>0.63</v>
      </c>
      <c r="AA156" s="3">
        <v>22</v>
      </c>
      <c r="AB156" s="3">
        <v>4</v>
      </c>
      <c r="AC156" s="5">
        <v>3.2</v>
      </c>
      <c r="AD156" s="4">
        <v>0.73</v>
      </c>
      <c r="AE156" s="4">
        <v>0.63</v>
      </c>
      <c r="AF156" s="4">
        <v>0.18</v>
      </c>
      <c r="AG156" s="4">
        <v>0.37</v>
      </c>
      <c r="AH156" s="4">
        <v>0.37</v>
      </c>
      <c r="AI156" s="4">
        <v>0</v>
      </c>
      <c r="AJ156" t="s">
        <v>60</v>
      </c>
      <c r="AK156" t="s">
        <v>86</v>
      </c>
      <c r="AL156" t="s">
        <v>61</v>
      </c>
      <c r="AM156" t="s">
        <v>73</v>
      </c>
      <c r="AN156" t="s">
        <v>97</v>
      </c>
      <c r="AO156" t="s">
        <v>74</v>
      </c>
      <c r="AP156" t="s">
        <v>75</v>
      </c>
    </row>
    <row r="157" spans="1:42" x14ac:dyDescent="0.25">
      <c r="A157" t="str">
        <f>HYPERLINK("HTTP://10.0.1.74/krs/295/detail","/krs/295")</f>
        <v>/krs/295</v>
      </c>
      <c r="B157">
        <v>295</v>
      </c>
      <c r="C157" t="s">
        <v>53</v>
      </c>
      <c r="D157" t="s">
        <v>81</v>
      </c>
      <c r="E157" t="s">
        <v>87</v>
      </c>
      <c r="F157" t="s">
        <v>191</v>
      </c>
      <c r="G157" s="1">
        <v>43049</v>
      </c>
      <c r="H157" t="s">
        <v>144</v>
      </c>
      <c r="I157" t="s">
        <v>51</v>
      </c>
      <c r="J157" t="s">
        <v>236</v>
      </c>
      <c r="K157" s="3">
        <v>472</v>
      </c>
      <c r="L157" s="3">
        <v>230</v>
      </c>
      <c r="M157" s="3">
        <v>702</v>
      </c>
      <c r="N157" s="4">
        <v>0.67</v>
      </c>
      <c r="O157" s="3">
        <v>27</v>
      </c>
      <c r="P157" s="3"/>
      <c r="Q157" s="3">
        <v>14</v>
      </c>
      <c r="R157" s="3">
        <v>27</v>
      </c>
      <c r="S157" s="5">
        <v>3.7</v>
      </c>
      <c r="T157" s="5">
        <v>3.4</v>
      </c>
      <c r="U157" s="4">
        <v>0.68</v>
      </c>
      <c r="V157" s="4">
        <v>0.67</v>
      </c>
      <c r="W157" s="4">
        <v>0.89</v>
      </c>
      <c r="X157" s="4">
        <v>0.88</v>
      </c>
      <c r="Y157" s="4">
        <v>0.52</v>
      </c>
      <c r="Z157" s="4">
        <v>0.33</v>
      </c>
      <c r="AA157" s="3">
        <v>27</v>
      </c>
      <c r="AB157" s="3">
        <v>16</v>
      </c>
      <c r="AC157" s="5">
        <v>3.8</v>
      </c>
      <c r="AD157" s="4">
        <v>1</v>
      </c>
      <c r="AE157" s="4">
        <v>0.76</v>
      </c>
      <c r="AF157" s="4">
        <v>0.59</v>
      </c>
      <c r="AG157" s="4">
        <v>0.24</v>
      </c>
      <c r="AH157" s="4">
        <v>0.7</v>
      </c>
      <c r="AI157" s="4">
        <v>0.56999999999999995</v>
      </c>
      <c r="AJ157" t="s">
        <v>72</v>
      </c>
      <c r="AK157" t="s">
        <v>61</v>
      </c>
      <c r="AL157" t="s">
        <v>62</v>
      </c>
      <c r="AM157" t="s">
        <v>104</v>
      </c>
      <c r="AN157" t="s">
        <v>97</v>
      </c>
      <c r="AO157" t="s">
        <v>65</v>
      </c>
      <c r="AP157" t="s">
        <v>75</v>
      </c>
    </row>
    <row r="158" spans="1:42" x14ac:dyDescent="0.25">
      <c r="A158" t="str">
        <f>HYPERLINK("HTTP://10.0.1.74/krs/296/detail","/krs/296")</f>
        <v>/krs/296</v>
      </c>
      <c r="B158">
        <v>296</v>
      </c>
      <c r="C158" t="s">
        <v>181</v>
      </c>
      <c r="D158" t="s">
        <v>81</v>
      </c>
      <c r="E158" t="s">
        <v>143</v>
      </c>
      <c r="F158" t="s">
        <v>176</v>
      </c>
      <c r="G158" s="1">
        <v>43028</v>
      </c>
      <c r="H158" t="s">
        <v>144</v>
      </c>
      <c r="I158" t="s">
        <v>51</v>
      </c>
      <c r="J158" t="s">
        <v>237</v>
      </c>
      <c r="K158" s="3">
        <v>497</v>
      </c>
      <c r="L158" s="3">
        <v>196</v>
      </c>
      <c r="M158" s="3">
        <v>693</v>
      </c>
      <c r="N158" s="4">
        <v>0.72</v>
      </c>
      <c r="O158" s="3">
        <v>21</v>
      </c>
      <c r="P158" s="3"/>
      <c r="Q158" s="3">
        <v>19</v>
      </c>
      <c r="R158" s="3">
        <v>21</v>
      </c>
      <c r="S158" s="5">
        <v>3.9</v>
      </c>
      <c r="T158" s="5">
        <v>3.9</v>
      </c>
      <c r="U158" s="4">
        <v>0.77</v>
      </c>
      <c r="V158" s="4">
        <v>0.72</v>
      </c>
      <c r="W158" s="4">
        <v>0.95</v>
      </c>
      <c r="X158" s="4">
        <v>0.94</v>
      </c>
      <c r="Y158" s="4">
        <v>0.9</v>
      </c>
      <c r="Z158" s="4">
        <v>0.28000000000000003</v>
      </c>
      <c r="AA158" s="3">
        <v>20</v>
      </c>
      <c r="AB158" s="3">
        <v>12</v>
      </c>
      <c r="AC158" s="5">
        <v>3.8</v>
      </c>
      <c r="AD158" s="4">
        <v>1</v>
      </c>
      <c r="AE158" s="4">
        <v>0.77</v>
      </c>
      <c r="AF158" s="4">
        <v>0.6</v>
      </c>
      <c r="AG158" s="4">
        <v>0.23</v>
      </c>
      <c r="AH158" s="4">
        <v>0.78</v>
      </c>
      <c r="AI158" s="4">
        <v>0</v>
      </c>
      <c r="AJ158" t="s">
        <v>72</v>
      </c>
      <c r="AK158" t="s">
        <v>62</v>
      </c>
      <c r="AL158" t="s">
        <v>62</v>
      </c>
      <c r="AM158" t="s">
        <v>63</v>
      </c>
      <c r="AN158" t="s">
        <v>64</v>
      </c>
      <c r="AO158" t="s">
        <v>65</v>
      </c>
      <c r="AP158" t="s">
        <v>66</v>
      </c>
    </row>
    <row r="159" spans="1:42" x14ac:dyDescent="0.25">
      <c r="A159" t="str">
        <f>HYPERLINK("HTTP://10.0.1.74/krs/297/detail","/krs/297")</f>
        <v>/krs/297</v>
      </c>
      <c r="B159">
        <v>297</v>
      </c>
      <c r="C159" t="s">
        <v>83</v>
      </c>
      <c r="D159" t="s">
        <v>81</v>
      </c>
      <c r="E159" t="s">
        <v>94</v>
      </c>
      <c r="F159" t="s">
        <v>238</v>
      </c>
      <c r="G159" s="1">
        <v>43064</v>
      </c>
      <c r="H159" t="s">
        <v>96</v>
      </c>
      <c r="I159" t="s">
        <v>51</v>
      </c>
      <c r="J159" t="s">
        <v>239</v>
      </c>
      <c r="K159" s="3">
        <v>446</v>
      </c>
      <c r="L159" s="3">
        <v>314</v>
      </c>
      <c r="M159" s="3">
        <v>760</v>
      </c>
      <c r="N159" s="4">
        <v>0.59</v>
      </c>
      <c r="O159" s="3">
        <v>76</v>
      </c>
      <c r="P159" s="3"/>
      <c r="Q159" s="3">
        <v>22</v>
      </c>
      <c r="R159" s="3">
        <v>76</v>
      </c>
      <c r="S159" s="5">
        <v>3.4</v>
      </c>
      <c r="T159" s="5">
        <v>3.3</v>
      </c>
      <c r="U159" s="4">
        <v>0.65</v>
      </c>
      <c r="V159" s="4">
        <v>0.59</v>
      </c>
      <c r="W159" s="4">
        <v>0.89</v>
      </c>
      <c r="X159" s="4">
        <v>0.88</v>
      </c>
      <c r="Y159" s="4">
        <v>0.28999999999999998</v>
      </c>
      <c r="Z159" s="4">
        <v>0.41</v>
      </c>
      <c r="AA159" s="3">
        <v>76</v>
      </c>
      <c r="AB159" s="3">
        <v>16</v>
      </c>
      <c r="AC159" s="5">
        <v>3.4</v>
      </c>
      <c r="AD159" s="4">
        <v>0.89</v>
      </c>
      <c r="AE159" s="4">
        <v>0.67</v>
      </c>
      <c r="AF159" s="4">
        <v>0.21</v>
      </c>
      <c r="AG159" s="4">
        <v>0.33</v>
      </c>
      <c r="AH159" s="4">
        <v>0.64</v>
      </c>
      <c r="AI159" s="4">
        <v>0</v>
      </c>
      <c r="AJ159" t="s">
        <v>72</v>
      </c>
      <c r="AK159" t="s">
        <v>86</v>
      </c>
      <c r="AL159" t="s">
        <v>62</v>
      </c>
      <c r="AM159" t="s">
        <v>104</v>
      </c>
      <c r="AN159" t="s">
        <v>97</v>
      </c>
      <c r="AO159" t="s">
        <v>65</v>
      </c>
      <c r="AP159" t="s">
        <v>75</v>
      </c>
    </row>
    <row r="160" spans="1:42" x14ac:dyDescent="0.25">
      <c r="A160" t="str">
        <f>HYPERLINK("HTTP://10.0.1.74/krs/298/detail","/krs/298")</f>
        <v>/krs/298</v>
      </c>
      <c r="B160">
        <v>298</v>
      </c>
      <c r="C160" t="s">
        <v>83</v>
      </c>
      <c r="D160" t="s">
        <v>81</v>
      </c>
      <c r="E160" t="s">
        <v>94</v>
      </c>
      <c r="F160" t="s">
        <v>69</v>
      </c>
      <c r="G160" s="1">
        <v>43057</v>
      </c>
      <c r="H160" t="s">
        <v>96</v>
      </c>
      <c r="I160" t="s">
        <v>51</v>
      </c>
      <c r="J160" t="s">
        <v>239</v>
      </c>
      <c r="K160" s="3">
        <v>140</v>
      </c>
      <c r="L160" s="3">
        <v>85</v>
      </c>
      <c r="M160" s="3">
        <v>225</v>
      </c>
      <c r="N160" s="4">
        <v>0.62</v>
      </c>
      <c r="O160" s="3">
        <v>25</v>
      </c>
      <c r="P160" s="3"/>
      <c r="Q160" s="3">
        <v>12</v>
      </c>
      <c r="R160" s="3">
        <v>25</v>
      </c>
      <c r="S160" s="5">
        <v>3.5</v>
      </c>
      <c r="T160" s="5">
        <v>3.4</v>
      </c>
      <c r="U160" s="4">
        <v>0.69</v>
      </c>
      <c r="V160" s="4">
        <v>0.62</v>
      </c>
      <c r="W160" s="4">
        <v>0.84</v>
      </c>
      <c r="X160" s="4">
        <v>0.86</v>
      </c>
      <c r="Y160" s="4">
        <v>0.48</v>
      </c>
      <c r="Z160" s="4">
        <v>0.38</v>
      </c>
      <c r="AA160" s="3">
        <v>25</v>
      </c>
      <c r="AB160" s="3">
        <v>7</v>
      </c>
      <c r="AC160" s="5">
        <v>3.6</v>
      </c>
      <c r="AD160" s="4">
        <v>1</v>
      </c>
      <c r="AE160" s="4">
        <v>0.72</v>
      </c>
      <c r="AF160" s="4">
        <v>0.28000000000000003</v>
      </c>
      <c r="AG160" s="4">
        <v>0.28000000000000003</v>
      </c>
      <c r="AH160" s="4">
        <v>0.96</v>
      </c>
      <c r="AI160" s="4">
        <v>0.45</v>
      </c>
      <c r="AJ160" t="s">
        <v>72</v>
      </c>
      <c r="AK160" t="s">
        <v>61</v>
      </c>
      <c r="AL160" t="s">
        <v>62</v>
      </c>
      <c r="AM160" t="s">
        <v>104</v>
      </c>
      <c r="AN160" t="s">
        <v>64</v>
      </c>
      <c r="AO160" t="s">
        <v>74</v>
      </c>
      <c r="AP160" t="s">
        <v>75</v>
      </c>
    </row>
    <row r="161" spans="1:42" x14ac:dyDescent="0.25">
      <c r="A161" t="str">
        <f>HYPERLINK("HTTP://10.0.1.74/krs/300/detail","/krs/300")</f>
        <v>/krs/300</v>
      </c>
      <c r="B161">
        <v>300</v>
      </c>
      <c r="C161" t="s">
        <v>80</v>
      </c>
      <c r="D161" t="s">
        <v>81</v>
      </c>
      <c r="E161" t="s">
        <v>125</v>
      </c>
      <c r="F161" t="s">
        <v>76</v>
      </c>
      <c r="G161" s="1">
        <v>43078</v>
      </c>
      <c r="H161" t="s">
        <v>127</v>
      </c>
      <c r="I161" t="s">
        <v>51</v>
      </c>
      <c r="J161" t="s">
        <v>240</v>
      </c>
      <c r="K161" s="3">
        <v>282</v>
      </c>
      <c r="L161" s="3">
        <v>246</v>
      </c>
      <c r="M161" s="3">
        <v>528</v>
      </c>
      <c r="N161" s="4">
        <v>0.53</v>
      </c>
      <c r="O161" s="3">
        <v>22</v>
      </c>
      <c r="P161" s="3"/>
      <c r="Q161" s="3">
        <v>4</v>
      </c>
      <c r="R161" s="3">
        <v>22</v>
      </c>
      <c r="S161" s="5">
        <v>3.1</v>
      </c>
      <c r="T161" s="5">
        <v>3.1</v>
      </c>
      <c r="U161" s="4">
        <v>0.62</v>
      </c>
      <c r="V161" s="4">
        <v>0.53</v>
      </c>
      <c r="W161" s="4">
        <v>0.86</v>
      </c>
      <c r="X161" s="4">
        <v>0</v>
      </c>
      <c r="Y161" s="4">
        <v>0.18</v>
      </c>
      <c r="Z161" s="4">
        <v>0.47</v>
      </c>
      <c r="AA161" s="3">
        <v>0</v>
      </c>
      <c r="AB161" s="3">
        <v>0</v>
      </c>
      <c r="AC161" s="5">
        <v>0</v>
      </c>
      <c r="AD161" s="4">
        <v>0</v>
      </c>
      <c r="AE161" s="4">
        <v>0</v>
      </c>
      <c r="AF161" s="4">
        <v>0</v>
      </c>
      <c r="AG161" s="4">
        <v>1</v>
      </c>
      <c r="AH161" s="4">
        <v>0.61</v>
      </c>
      <c r="AI161" s="4">
        <v>0</v>
      </c>
      <c r="AJ161" t="s">
        <v>72</v>
      </c>
      <c r="AK161" t="s">
        <v>86</v>
      </c>
      <c r="AL161" t="s">
        <v>62</v>
      </c>
      <c r="AM161" t="s">
        <v>63</v>
      </c>
      <c r="AN161" t="s">
        <v>64</v>
      </c>
      <c r="AO161" t="s">
        <v>79</v>
      </c>
      <c r="AP161" t="s">
        <v>75</v>
      </c>
    </row>
    <row r="162" spans="1:42" x14ac:dyDescent="0.25">
      <c r="A162" t="str">
        <f>HYPERLINK("HTTP://10.0.1.74/krs/301/detail","/krs/301")</f>
        <v>/krs/301</v>
      </c>
      <c r="B162">
        <v>301</v>
      </c>
      <c r="C162" t="s">
        <v>80</v>
      </c>
      <c r="D162" t="s">
        <v>81</v>
      </c>
      <c r="E162" t="s">
        <v>125</v>
      </c>
      <c r="F162" t="s">
        <v>115</v>
      </c>
      <c r="G162" s="1">
        <v>43081</v>
      </c>
      <c r="H162" t="s">
        <v>127</v>
      </c>
      <c r="I162" t="s">
        <v>51</v>
      </c>
      <c r="J162" t="s">
        <v>241</v>
      </c>
      <c r="K162" s="3">
        <v>236</v>
      </c>
      <c r="L162" s="3">
        <v>364</v>
      </c>
      <c r="M162" s="3">
        <v>600</v>
      </c>
      <c r="N162" s="4">
        <v>0.39</v>
      </c>
      <c r="O162" s="3">
        <v>25</v>
      </c>
      <c r="P162" s="3"/>
      <c r="Q162" s="3">
        <v>3</v>
      </c>
      <c r="R162" s="3">
        <v>25</v>
      </c>
      <c r="S162" s="5">
        <v>2.7</v>
      </c>
      <c r="T162" s="5">
        <v>2.6</v>
      </c>
      <c r="U162" s="4">
        <v>0.51</v>
      </c>
      <c r="V162" s="4">
        <v>0.39</v>
      </c>
      <c r="W162" s="4">
        <v>0.6</v>
      </c>
      <c r="X162" s="4">
        <v>0</v>
      </c>
      <c r="Y162" s="4">
        <v>0.12</v>
      </c>
      <c r="Z162" s="4">
        <v>0.61</v>
      </c>
      <c r="AA162" s="3">
        <v>0</v>
      </c>
      <c r="AB162" s="3">
        <v>0</v>
      </c>
      <c r="AC162" s="5">
        <v>0</v>
      </c>
      <c r="AD162" s="4">
        <v>0</v>
      </c>
      <c r="AE162" s="4">
        <v>0</v>
      </c>
      <c r="AF162" s="4">
        <v>0</v>
      </c>
      <c r="AG162" s="4">
        <v>1</v>
      </c>
      <c r="AH162" s="4">
        <v>0.47</v>
      </c>
      <c r="AI162" s="4">
        <v>0.21</v>
      </c>
      <c r="AJ162" t="s">
        <v>60</v>
      </c>
      <c r="AK162" t="s">
        <v>86</v>
      </c>
      <c r="AL162" t="s">
        <v>61</v>
      </c>
      <c r="AM162" t="s">
        <v>63</v>
      </c>
      <c r="AN162" t="s">
        <v>64</v>
      </c>
      <c r="AO162" t="s">
        <v>79</v>
      </c>
      <c r="AP162" t="s">
        <v>75</v>
      </c>
    </row>
    <row r="163" spans="1:42" x14ac:dyDescent="0.25">
      <c r="A163" t="str">
        <f>HYPERLINK("HTTP://10.0.1.74/krs/302/detail","/krs/302")</f>
        <v>/krs/302</v>
      </c>
      <c r="B163">
        <v>302</v>
      </c>
      <c r="C163" t="s">
        <v>80</v>
      </c>
      <c r="D163" t="s">
        <v>81</v>
      </c>
      <c r="E163" t="s">
        <v>125</v>
      </c>
      <c r="F163" t="s">
        <v>139</v>
      </c>
      <c r="G163" s="1">
        <v>43083</v>
      </c>
      <c r="H163" t="s">
        <v>127</v>
      </c>
      <c r="I163" t="s">
        <v>51</v>
      </c>
      <c r="J163" t="s">
        <v>241</v>
      </c>
      <c r="K163" s="3">
        <v>378</v>
      </c>
      <c r="L163" s="3">
        <v>198</v>
      </c>
      <c r="M163" s="3">
        <v>576</v>
      </c>
      <c r="N163" s="4">
        <v>0.66</v>
      </c>
      <c r="O163" s="3">
        <v>24</v>
      </c>
      <c r="P163" s="3"/>
      <c r="Q163" s="3">
        <v>12</v>
      </c>
      <c r="R163" s="3">
        <v>24</v>
      </c>
      <c r="S163" s="5">
        <v>3.7</v>
      </c>
      <c r="T163" s="5">
        <v>3.6</v>
      </c>
      <c r="U163" s="4">
        <v>0.72</v>
      </c>
      <c r="V163" s="4">
        <v>0.66</v>
      </c>
      <c r="W163" s="4">
        <v>0.96</v>
      </c>
      <c r="X163" s="4">
        <v>0</v>
      </c>
      <c r="Y163" s="4">
        <v>0.5</v>
      </c>
      <c r="Z163" s="4">
        <v>0.34</v>
      </c>
      <c r="AA163" s="3">
        <v>0</v>
      </c>
      <c r="AB163" s="3">
        <v>0</v>
      </c>
      <c r="AC163" s="5">
        <v>0</v>
      </c>
      <c r="AD163" s="4">
        <v>0</v>
      </c>
      <c r="AE163" s="4">
        <v>0</v>
      </c>
      <c r="AF163" s="4">
        <v>0</v>
      </c>
      <c r="AG163" s="4">
        <v>1</v>
      </c>
      <c r="AH163" s="4">
        <v>0.8</v>
      </c>
      <c r="AI163" s="4">
        <v>0.37</v>
      </c>
      <c r="AJ163" t="s">
        <v>72</v>
      </c>
      <c r="AK163" t="s">
        <v>61</v>
      </c>
      <c r="AL163" t="s">
        <v>62</v>
      </c>
      <c r="AM163" t="s">
        <v>63</v>
      </c>
      <c r="AN163" t="s">
        <v>64</v>
      </c>
      <c r="AO163" t="s">
        <v>79</v>
      </c>
      <c r="AP163" t="s">
        <v>75</v>
      </c>
    </row>
    <row r="164" spans="1:42" x14ac:dyDescent="0.25">
      <c r="A164" t="str">
        <f>HYPERLINK("HTTP://10.0.1.74/krs/303/detail","/krs/303")</f>
        <v>/krs/303</v>
      </c>
      <c r="B164">
        <v>303</v>
      </c>
      <c r="C164" t="s">
        <v>46</v>
      </c>
      <c r="D164" t="s">
        <v>81</v>
      </c>
      <c r="E164" t="s">
        <v>157</v>
      </c>
      <c r="F164" t="s">
        <v>242</v>
      </c>
      <c r="G164" s="1">
        <v>43080.440648148149</v>
      </c>
      <c r="H164" t="s">
        <v>158</v>
      </c>
      <c r="I164" t="s">
        <v>51</v>
      </c>
      <c r="K164" s="3">
        <v>268</v>
      </c>
      <c r="L164" s="3">
        <v>232</v>
      </c>
      <c r="M164" s="3">
        <v>500</v>
      </c>
      <c r="N164" s="4">
        <v>0.54</v>
      </c>
      <c r="O164" s="3">
        <v>50</v>
      </c>
      <c r="P164" s="3"/>
      <c r="Q164" s="3">
        <v>17</v>
      </c>
      <c r="R164" s="3">
        <v>50</v>
      </c>
      <c r="S164" s="5">
        <v>3.2</v>
      </c>
      <c r="T164" s="5">
        <v>3</v>
      </c>
      <c r="U164" s="4">
        <v>0.6</v>
      </c>
      <c r="V164" s="4">
        <v>0.54</v>
      </c>
      <c r="W164" s="4">
        <v>0.68</v>
      </c>
      <c r="X164" s="4">
        <v>0.7</v>
      </c>
      <c r="Y164" s="4">
        <v>0.34</v>
      </c>
      <c r="Z164" s="4">
        <v>0.46</v>
      </c>
      <c r="AA164" s="3">
        <v>39</v>
      </c>
      <c r="AB164" s="3">
        <v>28</v>
      </c>
      <c r="AC164" s="5">
        <v>3.8</v>
      </c>
      <c r="AD164" s="4">
        <v>1</v>
      </c>
      <c r="AE164" s="4">
        <v>0.77</v>
      </c>
      <c r="AF164" s="4">
        <v>0.72</v>
      </c>
      <c r="AG164" s="4">
        <v>0.23</v>
      </c>
      <c r="AH164" s="4">
        <v>0.54</v>
      </c>
      <c r="AI164" s="4">
        <v>0</v>
      </c>
      <c r="AJ164" t="s">
        <v>72</v>
      </c>
      <c r="AK164" t="s">
        <v>86</v>
      </c>
      <c r="AL164" t="s">
        <v>61</v>
      </c>
      <c r="AM164" t="s">
        <v>73</v>
      </c>
      <c r="AN164" t="s">
        <v>64</v>
      </c>
      <c r="AO164" t="s">
        <v>74</v>
      </c>
      <c r="AP164" t="s">
        <v>75</v>
      </c>
    </row>
    <row r="165" spans="1:42" x14ac:dyDescent="0.25">
      <c r="A165" t="str">
        <f>HYPERLINK("HTTP://10.0.1.74/krs/304/detail","/krs/304")</f>
        <v>/krs/304</v>
      </c>
      <c r="B165">
        <v>304</v>
      </c>
      <c r="C165" t="s">
        <v>46</v>
      </c>
      <c r="D165" t="s">
        <v>81</v>
      </c>
      <c r="E165" t="s">
        <v>157</v>
      </c>
      <c r="F165" t="s">
        <v>105</v>
      </c>
      <c r="G165" s="1">
        <v>43080.479892870368</v>
      </c>
      <c r="H165" t="s">
        <v>243</v>
      </c>
      <c r="I165" t="s">
        <v>51</v>
      </c>
      <c r="J165" t="s">
        <v>244</v>
      </c>
      <c r="K165" s="3"/>
      <c r="L165" s="3"/>
      <c r="M165" s="3"/>
      <c r="N165" s="4"/>
      <c r="O165" s="3"/>
      <c r="P165" s="3"/>
      <c r="Q165" s="3"/>
      <c r="R165" s="3"/>
      <c r="S165" s="5"/>
      <c r="T165" s="5"/>
      <c r="U165" s="4"/>
      <c r="V165" s="4"/>
      <c r="W165" s="4"/>
      <c r="X165" s="4"/>
      <c r="Y165" s="4"/>
      <c r="Z165" s="4"/>
      <c r="AA165" s="3"/>
      <c r="AB165" s="3"/>
      <c r="AC165" s="5"/>
      <c r="AD165" s="4"/>
      <c r="AE165" s="4"/>
      <c r="AF165" s="4"/>
      <c r="AG165" s="4"/>
      <c r="AH165" s="4"/>
      <c r="AI165" s="4"/>
      <c r="AJ165" t="s">
        <v>52</v>
      </c>
      <c r="AK165" t="s">
        <v>52</v>
      </c>
      <c r="AL165" t="s">
        <v>52</v>
      </c>
      <c r="AM165" t="s">
        <v>52</v>
      </c>
      <c r="AN165" t="s">
        <v>52</v>
      </c>
      <c r="AO165" t="s">
        <v>52</v>
      </c>
      <c r="AP165" t="s">
        <v>52</v>
      </c>
    </row>
    <row r="166" spans="1:42" x14ac:dyDescent="0.25">
      <c r="A166" t="str">
        <f>HYPERLINK("HTTP://10.0.1.74/krs/306/detail","/krs/306")</f>
        <v>/krs/306</v>
      </c>
      <c r="B166">
        <v>306</v>
      </c>
      <c r="C166" t="s">
        <v>46</v>
      </c>
      <c r="D166" t="s">
        <v>81</v>
      </c>
      <c r="E166" t="s">
        <v>157</v>
      </c>
      <c r="F166" t="s">
        <v>245</v>
      </c>
      <c r="G166" s="1">
        <v>43084.424930555557</v>
      </c>
      <c r="H166" t="s">
        <v>243</v>
      </c>
      <c r="I166" t="s">
        <v>51</v>
      </c>
      <c r="J166" t="s">
        <v>244</v>
      </c>
      <c r="K166" s="3">
        <v>216</v>
      </c>
      <c r="L166" s="3">
        <v>124</v>
      </c>
      <c r="M166" s="3">
        <v>340</v>
      </c>
      <c r="N166" s="4">
        <v>0.64</v>
      </c>
      <c r="O166" s="3">
        <v>34</v>
      </c>
      <c r="P166" s="3"/>
      <c r="Q166" s="3">
        <v>16</v>
      </c>
      <c r="R166" s="3">
        <v>34</v>
      </c>
      <c r="S166" s="5">
        <v>3.5</v>
      </c>
      <c r="T166" s="5">
        <v>3.5</v>
      </c>
      <c r="U166" s="4">
        <v>0.7</v>
      </c>
      <c r="V166" s="4">
        <v>0.64</v>
      </c>
      <c r="W166" s="4">
        <v>0.79</v>
      </c>
      <c r="X166" s="4">
        <v>0.83</v>
      </c>
      <c r="Y166" s="4">
        <v>0.47</v>
      </c>
      <c r="Z166" s="4">
        <v>0.36</v>
      </c>
      <c r="AA166" s="3">
        <v>34</v>
      </c>
      <c r="AB166" s="3">
        <v>19</v>
      </c>
      <c r="AC166" s="5">
        <v>3.8</v>
      </c>
      <c r="AD166" s="4">
        <v>0.94</v>
      </c>
      <c r="AE166" s="4">
        <v>0.77</v>
      </c>
      <c r="AF166" s="4">
        <v>0.56000000000000005</v>
      </c>
      <c r="AG166" s="4">
        <v>0.23</v>
      </c>
      <c r="AH166" s="4">
        <v>0.64</v>
      </c>
      <c r="AI166" s="4">
        <v>0</v>
      </c>
      <c r="AJ166" t="s">
        <v>72</v>
      </c>
      <c r="AK166" t="s">
        <v>61</v>
      </c>
      <c r="AL166" t="s">
        <v>62</v>
      </c>
      <c r="AM166" t="s">
        <v>73</v>
      </c>
      <c r="AN166" t="s">
        <v>97</v>
      </c>
      <c r="AO166" t="s">
        <v>74</v>
      </c>
      <c r="AP166" t="s">
        <v>75</v>
      </c>
    </row>
    <row r="167" spans="1:42" x14ac:dyDescent="0.25">
      <c r="A167" t="str">
        <f>HYPERLINK("HTTP://10.0.1.74/krs/307/detail","/krs/307")</f>
        <v>/krs/307</v>
      </c>
      <c r="B167">
        <v>307</v>
      </c>
      <c r="C167" t="s">
        <v>53</v>
      </c>
      <c r="D167" t="s">
        <v>228</v>
      </c>
      <c r="E167" t="s">
        <v>54</v>
      </c>
      <c r="F167" t="s">
        <v>246</v>
      </c>
      <c r="G167" s="1">
        <v>43087</v>
      </c>
      <c r="H167" t="s">
        <v>56</v>
      </c>
      <c r="I167" t="s">
        <v>57</v>
      </c>
      <c r="K167" s="3">
        <v>1429</v>
      </c>
      <c r="L167" s="3">
        <v>543</v>
      </c>
      <c r="M167" s="3">
        <v>1972</v>
      </c>
      <c r="N167" s="4">
        <v>0.72</v>
      </c>
      <c r="O167" s="3">
        <v>34</v>
      </c>
      <c r="P167" s="3"/>
      <c r="Q167" s="3">
        <v>21</v>
      </c>
      <c r="R167" s="3">
        <v>34</v>
      </c>
      <c r="S167" s="5">
        <v>3.5</v>
      </c>
      <c r="T167" s="5">
        <v>3.7</v>
      </c>
      <c r="U167" s="4">
        <v>0.75</v>
      </c>
      <c r="V167" s="4">
        <v>0.72</v>
      </c>
      <c r="W167" s="4">
        <v>1</v>
      </c>
      <c r="X167" s="4">
        <v>0.99</v>
      </c>
      <c r="Y167" s="4">
        <v>0.62</v>
      </c>
      <c r="Z167" s="4">
        <v>0.28000000000000003</v>
      </c>
      <c r="AA167" s="3">
        <v>34</v>
      </c>
      <c r="AB167" s="3">
        <v>17</v>
      </c>
      <c r="AC167" s="5">
        <v>3.6</v>
      </c>
      <c r="AD167" s="4">
        <v>0.91</v>
      </c>
      <c r="AE167" s="4">
        <v>0.73</v>
      </c>
      <c r="AF167" s="4">
        <v>0.5</v>
      </c>
      <c r="AG167" s="4">
        <v>0.27</v>
      </c>
      <c r="AH167" s="4">
        <v>0.8</v>
      </c>
      <c r="AI167" s="4">
        <v>0.76</v>
      </c>
      <c r="AJ167" t="s">
        <v>72</v>
      </c>
      <c r="AK167" t="s">
        <v>62</v>
      </c>
      <c r="AL167" t="s">
        <v>62</v>
      </c>
      <c r="AM167" t="s">
        <v>63</v>
      </c>
      <c r="AN167" t="s">
        <v>64</v>
      </c>
      <c r="AO167" t="s">
        <v>79</v>
      </c>
      <c r="AP167" t="s">
        <v>66</v>
      </c>
    </row>
    <row r="168" spans="1:42" x14ac:dyDescent="0.25">
      <c r="A168" t="str">
        <f>HYPERLINK("HTTP://10.0.1.74/krs/309/detail","/krs/309")</f>
        <v>/krs/309</v>
      </c>
      <c r="B168">
        <v>309</v>
      </c>
      <c r="C168" t="s">
        <v>53</v>
      </c>
      <c r="D168" t="s">
        <v>228</v>
      </c>
      <c r="E168" t="s">
        <v>54</v>
      </c>
      <c r="F168" t="s">
        <v>126</v>
      </c>
      <c r="G168" s="1">
        <v>43087.973564814813</v>
      </c>
      <c r="H168" t="s">
        <v>56</v>
      </c>
      <c r="I168" t="s">
        <v>57</v>
      </c>
      <c r="K168" s="3">
        <v>1446</v>
      </c>
      <c r="L168" s="3">
        <v>465</v>
      </c>
      <c r="M168" s="3">
        <v>1911</v>
      </c>
      <c r="N168" s="4">
        <v>0.76</v>
      </c>
      <c r="O168" s="3">
        <v>49</v>
      </c>
      <c r="P168" s="3"/>
      <c r="Q168" s="3">
        <v>40</v>
      </c>
      <c r="R168" s="3">
        <v>49</v>
      </c>
      <c r="S168" s="5">
        <v>3.7</v>
      </c>
      <c r="T168" s="5">
        <v>3.9</v>
      </c>
      <c r="U168" s="4">
        <v>0.78</v>
      </c>
      <c r="V168" s="4">
        <v>0.76</v>
      </c>
      <c r="W168" s="4">
        <v>1</v>
      </c>
      <c r="X168" s="4">
        <v>1.03</v>
      </c>
      <c r="Y168" s="4">
        <v>0.82</v>
      </c>
      <c r="Z168" s="4">
        <v>0.24</v>
      </c>
      <c r="AA168" s="3">
        <v>49</v>
      </c>
      <c r="AB168" s="3">
        <v>31</v>
      </c>
      <c r="AC168" s="5">
        <v>3.7</v>
      </c>
      <c r="AD168" s="4">
        <v>0.94</v>
      </c>
      <c r="AE168" s="4">
        <v>0.74</v>
      </c>
      <c r="AF168" s="4">
        <v>0.63</v>
      </c>
      <c r="AG168" s="4">
        <v>0.26</v>
      </c>
      <c r="AH168" s="4">
        <v>0.84</v>
      </c>
      <c r="AI168" s="4">
        <v>0.71</v>
      </c>
      <c r="AJ168" t="s">
        <v>72</v>
      </c>
      <c r="AK168" t="s">
        <v>62</v>
      </c>
      <c r="AL168" t="s">
        <v>62</v>
      </c>
      <c r="AM168" t="s">
        <v>63</v>
      </c>
      <c r="AN168" t="s">
        <v>64</v>
      </c>
      <c r="AO168" t="s">
        <v>79</v>
      </c>
      <c r="AP168" t="s">
        <v>66</v>
      </c>
    </row>
    <row r="169" spans="1:42" x14ac:dyDescent="0.25">
      <c r="A169" t="str">
        <f>HYPERLINK("HTTP://10.0.1.74/krs/310/detail","/krs/310")</f>
        <v>/krs/310</v>
      </c>
      <c r="B169">
        <v>310</v>
      </c>
      <c r="C169" t="s">
        <v>247</v>
      </c>
      <c r="D169" t="s">
        <v>140</v>
      </c>
      <c r="E169" t="s">
        <v>143</v>
      </c>
      <c r="F169" t="s">
        <v>126</v>
      </c>
      <c r="G169" s="1">
        <v>43089</v>
      </c>
      <c r="H169" t="s">
        <v>231</v>
      </c>
      <c r="I169" t="s">
        <v>51</v>
      </c>
      <c r="K169" s="3"/>
      <c r="L169" s="3"/>
      <c r="M169" s="3"/>
      <c r="N169" s="4"/>
      <c r="O169" s="3"/>
      <c r="P169" s="3"/>
      <c r="Q169" s="3"/>
      <c r="R169" s="3"/>
      <c r="S169" s="5"/>
      <c r="T169" s="5"/>
      <c r="U169" s="4"/>
      <c r="V169" s="4"/>
      <c r="W169" s="4"/>
      <c r="X169" s="4"/>
      <c r="Y169" s="4"/>
      <c r="Z169" s="4"/>
      <c r="AA169" s="3"/>
      <c r="AB169" s="3"/>
      <c r="AC169" s="5"/>
      <c r="AD169" s="4"/>
      <c r="AE169" s="4"/>
      <c r="AF169" s="4"/>
      <c r="AG169" s="4"/>
      <c r="AH169" s="4"/>
      <c r="AI169" s="4"/>
      <c r="AJ169" t="s">
        <v>52</v>
      </c>
      <c r="AK169" t="s">
        <v>52</v>
      </c>
      <c r="AL169" t="s">
        <v>52</v>
      </c>
      <c r="AM169" t="s">
        <v>52</v>
      </c>
      <c r="AN169" t="s">
        <v>52</v>
      </c>
      <c r="AO169" t="s">
        <v>52</v>
      </c>
      <c r="AP169" t="s">
        <v>52</v>
      </c>
    </row>
    <row r="170" spans="1:42" x14ac:dyDescent="0.25">
      <c r="A170" t="str">
        <f>HYPERLINK("HTTP://10.0.1.74/krs/311/detail","/krs/311")</f>
        <v>/krs/311</v>
      </c>
      <c r="B170">
        <v>311</v>
      </c>
      <c r="C170" t="s">
        <v>84</v>
      </c>
      <c r="D170" t="s">
        <v>140</v>
      </c>
      <c r="E170" t="s">
        <v>111</v>
      </c>
      <c r="F170" t="s">
        <v>112</v>
      </c>
      <c r="G170" s="1">
        <v>43094.558703703704</v>
      </c>
      <c r="H170" t="s">
        <v>113</v>
      </c>
      <c r="I170" t="s">
        <v>57</v>
      </c>
      <c r="J170" t="s">
        <v>248</v>
      </c>
      <c r="K170" s="3">
        <v>463</v>
      </c>
      <c r="L170" s="3">
        <v>279</v>
      </c>
      <c r="M170" s="3">
        <v>742</v>
      </c>
      <c r="N170" s="4">
        <v>0.62</v>
      </c>
      <c r="O170" s="3">
        <v>14</v>
      </c>
      <c r="P170" s="3"/>
      <c r="Q170" s="3">
        <v>5</v>
      </c>
      <c r="R170" s="3">
        <v>14</v>
      </c>
      <c r="S170" s="5">
        <v>3.5</v>
      </c>
      <c r="T170" s="5">
        <v>3.5</v>
      </c>
      <c r="U170" s="4">
        <v>0.7</v>
      </c>
      <c r="V170" s="4">
        <v>0.62</v>
      </c>
      <c r="W170" s="4">
        <v>1</v>
      </c>
      <c r="X170" s="4">
        <v>0.87</v>
      </c>
      <c r="Y170" s="4">
        <v>0.36</v>
      </c>
      <c r="Z170" s="4">
        <v>0.38</v>
      </c>
      <c r="AA170" s="3">
        <v>14</v>
      </c>
      <c r="AB170" s="3">
        <v>5</v>
      </c>
      <c r="AC170" s="5">
        <v>3.6</v>
      </c>
      <c r="AD170" s="4">
        <v>0.86</v>
      </c>
      <c r="AE170" s="4">
        <v>0.71</v>
      </c>
      <c r="AF170" s="4">
        <v>0.36</v>
      </c>
      <c r="AG170" s="4">
        <v>0.28999999999999998</v>
      </c>
      <c r="AH170" s="4">
        <v>0.74</v>
      </c>
      <c r="AI170" s="4">
        <v>0.53</v>
      </c>
      <c r="AJ170" t="s">
        <v>72</v>
      </c>
      <c r="AK170" t="s">
        <v>61</v>
      </c>
      <c r="AL170" t="s">
        <v>62</v>
      </c>
      <c r="AM170" t="s">
        <v>104</v>
      </c>
      <c r="AN170" t="s">
        <v>97</v>
      </c>
      <c r="AO170" t="s">
        <v>65</v>
      </c>
      <c r="AP170" t="s">
        <v>75</v>
      </c>
    </row>
    <row r="171" spans="1:42" x14ac:dyDescent="0.25">
      <c r="A171" t="str">
        <f>HYPERLINK("HTTP://10.0.1.74/krs/314/detail","/krs/314")</f>
        <v>/krs/314</v>
      </c>
      <c r="B171">
        <v>314</v>
      </c>
      <c r="C171" t="s">
        <v>249</v>
      </c>
      <c r="D171" t="s">
        <v>140</v>
      </c>
      <c r="E171" t="s">
        <v>94</v>
      </c>
      <c r="F171" t="s">
        <v>246</v>
      </c>
      <c r="G171" s="1">
        <v>43090</v>
      </c>
      <c r="H171" t="s">
        <v>96</v>
      </c>
      <c r="I171" t="s">
        <v>57</v>
      </c>
      <c r="J171" t="s">
        <v>250</v>
      </c>
      <c r="K171" s="3">
        <v>182</v>
      </c>
      <c r="L171" s="3">
        <v>178</v>
      </c>
      <c r="M171" s="3">
        <v>360</v>
      </c>
      <c r="N171" s="4">
        <v>0.51</v>
      </c>
      <c r="O171" s="3">
        <v>12</v>
      </c>
      <c r="P171" s="3"/>
      <c r="Q171" s="3">
        <v>3</v>
      </c>
      <c r="R171" s="3">
        <v>12</v>
      </c>
      <c r="S171" s="5">
        <v>3</v>
      </c>
      <c r="T171" s="5">
        <v>3</v>
      </c>
      <c r="U171" s="4">
        <v>0.6</v>
      </c>
      <c r="V171" s="4">
        <v>0.51</v>
      </c>
      <c r="W171" s="4">
        <v>0.75</v>
      </c>
      <c r="X171" s="4">
        <v>0.73</v>
      </c>
      <c r="Y171" s="4">
        <v>0.25</v>
      </c>
      <c r="Z171" s="4">
        <v>0.49</v>
      </c>
      <c r="AA171" s="3">
        <v>12</v>
      </c>
      <c r="AB171" s="3">
        <v>4</v>
      </c>
      <c r="AC171" s="5">
        <v>3.5</v>
      </c>
      <c r="AD171" s="4">
        <v>1</v>
      </c>
      <c r="AE171" s="4">
        <v>0.7</v>
      </c>
      <c r="AF171" s="4">
        <v>0.33</v>
      </c>
      <c r="AG171" s="4">
        <v>0.3</v>
      </c>
      <c r="AH171" s="4">
        <v>0.54</v>
      </c>
      <c r="AI171" s="4">
        <v>0</v>
      </c>
      <c r="AJ171" t="s">
        <v>72</v>
      </c>
      <c r="AK171" t="s">
        <v>86</v>
      </c>
      <c r="AL171" t="s">
        <v>62</v>
      </c>
      <c r="AM171" t="s">
        <v>73</v>
      </c>
      <c r="AN171" t="s">
        <v>97</v>
      </c>
      <c r="AO171" t="s">
        <v>74</v>
      </c>
      <c r="AP171" t="s">
        <v>75</v>
      </c>
    </row>
    <row r="172" spans="1:42" x14ac:dyDescent="0.25">
      <c r="A172" t="str">
        <f>HYPERLINK("HTTP://10.0.1.74/krs/318/detail","/krs/318")</f>
        <v>/krs/318</v>
      </c>
      <c r="B172">
        <v>318</v>
      </c>
      <c r="C172" t="s">
        <v>251</v>
      </c>
      <c r="D172" t="s">
        <v>140</v>
      </c>
      <c r="E172" t="s">
        <v>125</v>
      </c>
      <c r="F172" t="s">
        <v>116</v>
      </c>
      <c r="G172" s="1">
        <v>43097.458136574074</v>
      </c>
      <c r="H172" t="s">
        <v>127</v>
      </c>
      <c r="I172" t="s">
        <v>51</v>
      </c>
      <c r="J172" t="s">
        <v>252</v>
      </c>
      <c r="K172" s="3">
        <v>693</v>
      </c>
      <c r="L172" s="3">
        <v>333</v>
      </c>
      <c r="M172" s="3">
        <v>1026</v>
      </c>
      <c r="N172" s="4">
        <v>0.68</v>
      </c>
      <c r="O172" s="3">
        <v>18</v>
      </c>
      <c r="P172" s="3"/>
      <c r="Q172" s="3">
        <v>11</v>
      </c>
      <c r="R172" s="3">
        <v>18</v>
      </c>
      <c r="S172" s="5">
        <v>3.7</v>
      </c>
      <c r="T172" s="5">
        <v>3.7</v>
      </c>
      <c r="U172" s="4">
        <v>0.74</v>
      </c>
      <c r="V172" s="4">
        <v>0.68</v>
      </c>
      <c r="W172" s="4">
        <v>0.94</v>
      </c>
      <c r="X172" s="4">
        <v>0</v>
      </c>
      <c r="Y172" s="4">
        <v>0.61</v>
      </c>
      <c r="Z172" s="4">
        <v>0.32</v>
      </c>
      <c r="AA172" s="3">
        <v>0</v>
      </c>
      <c r="AB172" s="3">
        <v>0</v>
      </c>
      <c r="AC172" s="5">
        <v>0</v>
      </c>
      <c r="AD172" s="4">
        <v>0</v>
      </c>
      <c r="AE172" s="4">
        <v>0</v>
      </c>
      <c r="AF172" s="4">
        <v>0</v>
      </c>
      <c r="AG172" s="4">
        <v>1</v>
      </c>
      <c r="AH172" s="4">
        <v>0.71</v>
      </c>
      <c r="AI172" s="4">
        <v>0.69</v>
      </c>
      <c r="AJ172" t="s">
        <v>72</v>
      </c>
      <c r="AK172" t="s">
        <v>61</v>
      </c>
      <c r="AL172" t="s">
        <v>62</v>
      </c>
      <c r="AM172" t="s">
        <v>63</v>
      </c>
      <c r="AN172" t="s">
        <v>64</v>
      </c>
      <c r="AO172" t="s">
        <v>79</v>
      </c>
      <c r="AP172" t="s">
        <v>75</v>
      </c>
    </row>
    <row r="173" spans="1:42" x14ac:dyDescent="0.25">
      <c r="A173" t="str">
        <f>HYPERLINK("HTTP://10.0.1.74/krs/319/detail","/krs/319")</f>
        <v>/krs/319</v>
      </c>
      <c r="B173">
        <v>319</v>
      </c>
      <c r="C173" t="s">
        <v>53</v>
      </c>
      <c r="D173" t="s">
        <v>140</v>
      </c>
      <c r="E173" t="s">
        <v>125</v>
      </c>
      <c r="F173" t="s">
        <v>126</v>
      </c>
      <c r="G173" s="1">
        <v>43097.533518518518</v>
      </c>
      <c r="H173" t="s">
        <v>127</v>
      </c>
      <c r="I173" t="s">
        <v>51</v>
      </c>
      <c r="J173" t="s">
        <v>248</v>
      </c>
      <c r="K173" s="3">
        <v>220</v>
      </c>
      <c r="L173" s="3">
        <v>185</v>
      </c>
      <c r="M173" s="3">
        <v>405</v>
      </c>
      <c r="N173" s="4">
        <v>0.54</v>
      </c>
      <c r="O173" s="3">
        <v>15</v>
      </c>
      <c r="P173" s="3"/>
      <c r="Q173" s="3">
        <v>5</v>
      </c>
      <c r="R173" s="3">
        <v>15</v>
      </c>
      <c r="S173" s="5">
        <v>3.2</v>
      </c>
      <c r="T173" s="5">
        <v>3.1</v>
      </c>
      <c r="U173" s="4">
        <v>0.61</v>
      </c>
      <c r="V173" s="4">
        <v>0.54</v>
      </c>
      <c r="W173" s="4">
        <v>0.67</v>
      </c>
      <c r="X173" s="4">
        <v>0</v>
      </c>
      <c r="Y173" s="4">
        <v>0.33</v>
      </c>
      <c r="Z173" s="4">
        <v>0.46</v>
      </c>
      <c r="AA173" s="3">
        <v>0</v>
      </c>
      <c r="AB173" s="3">
        <v>0</v>
      </c>
      <c r="AC173" s="5">
        <v>0</v>
      </c>
      <c r="AD173" s="4">
        <v>0</v>
      </c>
      <c r="AE173" s="4">
        <v>0</v>
      </c>
      <c r="AF173" s="4">
        <v>0</v>
      </c>
      <c r="AG173" s="4">
        <v>1</v>
      </c>
      <c r="AH173" s="4">
        <v>0.53</v>
      </c>
      <c r="AI173" s="4">
        <v>0</v>
      </c>
      <c r="AJ173" t="s">
        <v>72</v>
      </c>
      <c r="AK173" t="s">
        <v>86</v>
      </c>
      <c r="AL173" t="s">
        <v>61</v>
      </c>
      <c r="AM173" t="s">
        <v>63</v>
      </c>
      <c r="AN173" t="s">
        <v>64</v>
      </c>
      <c r="AO173" t="s">
        <v>79</v>
      </c>
      <c r="AP173" t="s">
        <v>75</v>
      </c>
    </row>
    <row r="174" spans="1:42" x14ac:dyDescent="0.25">
      <c r="A174" t="str">
        <f>HYPERLINK("HTTP://10.0.1.74/krs/323/detail","/krs/323")</f>
        <v>/krs/323</v>
      </c>
      <c r="B174">
        <v>323</v>
      </c>
      <c r="C174" t="s">
        <v>46</v>
      </c>
      <c r="D174" t="s">
        <v>140</v>
      </c>
      <c r="E174" t="s">
        <v>87</v>
      </c>
      <c r="F174" t="s">
        <v>116</v>
      </c>
      <c r="G174" s="1">
        <v>43095</v>
      </c>
      <c r="H174" t="s">
        <v>187</v>
      </c>
      <c r="I174" t="s">
        <v>51</v>
      </c>
      <c r="J174" t="s">
        <v>253</v>
      </c>
      <c r="K174" s="3">
        <v>875</v>
      </c>
      <c r="L174" s="3">
        <v>187</v>
      </c>
      <c r="M174" s="3">
        <v>1062</v>
      </c>
      <c r="N174" s="4">
        <v>0.82</v>
      </c>
      <c r="O174" s="3">
        <v>18</v>
      </c>
      <c r="P174" s="3"/>
      <c r="Q174" s="3">
        <v>17</v>
      </c>
      <c r="R174" s="3">
        <v>18</v>
      </c>
      <c r="S174" s="5">
        <v>4.3</v>
      </c>
      <c r="T174" s="5">
        <v>4.4000000000000004</v>
      </c>
      <c r="U174" s="4">
        <v>0.89</v>
      </c>
      <c r="V174" s="4">
        <v>0.82</v>
      </c>
      <c r="W174" s="4">
        <v>1</v>
      </c>
      <c r="X174" s="4">
        <v>0.94</v>
      </c>
      <c r="Y174" s="4">
        <v>0.94</v>
      </c>
      <c r="Z174" s="4">
        <v>0.18</v>
      </c>
      <c r="AA174" s="3">
        <v>18</v>
      </c>
      <c r="AB174" s="3">
        <v>14</v>
      </c>
      <c r="AC174" s="5">
        <v>4.3</v>
      </c>
      <c r="AD174" s="4">
        <v>1</v>
      </c>
      <c r="AE174" s="4">
        <v>0.87</v>
      </c>
      <c r="AF174" s="4">
        <v>0.78</v>
      </c>
      <c r="AG174" s="4">
        <v>0.13</v>
      </c>
      <c r="AH174" s="4">
        <v>0.94</v>
      </c>
      <c r="AI174" s="4">
        <v>0.82</v>
      </c>
      <c r="AJ174" t="s">
        <v>72</v>
      </c>
      <c r="AK174" t="s">
        <v>62</v>
      </c>
      <c r="AL174" t="s">
        <v>62</v>
      </c>
      <c r="AM174" t="s">
        <v>63</v>
      </c>
      <c r="AN174" t="s">
        <v>64</v>
      </c>
      <c r="AO174" t="s">
        <v>65</v>
      </c>
      <c r="AP174" t="s">
        <v>66</v>
      </c>
    </row>
    <row r="175" spans="1:42" x14ac:dyDescent="0.25">
      <c r="A175" t="str">
        <f>HYPERLINK("HTTP://10.0.1.74/krs/361/detail","/krs/361")</f>
        <v>/krs/361</v>
      </c>
      <c r="B175">
        <v>361</v>
      </c>
      <c r="C175" t="s">
        <v>80</v>
      </c>
      <c r="D175" t="s">
        <v>140</v>
      </c>
      <c r="E175" t="s">
        <v>111</v>
      </c>
      <c r="F175" t="s">
        <v>254</v>
      </c>
      <c r="G175" s="1">
        <v>43092</v>
      </c>
      <c r="H175" t="s">
        <v>212</v>
      </c>
      <c r="I175" t="s">
        <v>51</v>
      </c>
      <c r="J175" t="s">
        <v>255</v>
      </c>
      <c r="K175" s="3">
        <v>121</v>
      </c>
      <c r="L175" s="3">
        <v>99</v>
      </c>
      <c r="M175" s="3">
        <v>220</v>
      </c>
      <c r="N175" s="4">
        <v>0.55000000000000004</v>
      </c>
      <c r="O175" s="3">
        <v>5</v>
      </c>
      <c r="P175" s="3"/>
      <c r="Q175" s="3">
        <v>2</v>
      </c>
      <c r="R175" s="3">
        <v>5</v>
      </c>
      <c r="S175" s="5">
        <v>3.2</v>
      </c>
      <c r="T175" s="5">
        <v>3.4</v>
      </c>
      <c r="U175" s="4">
        <v>0.68</v>
      </c>
      <c r="V175" s="4">
        <v>0.55000000000000004</v>
      </c>
      <c r="W175" s="4">
        <v>1</v>
      </c>
      <c r="X175" s="4">
        <v>0.83</v>
      </c>
      <c r="Y175" s="4">
        <v>0.4</v>
      </c>
      <c r="Z175" s="4">
        <v>0.45</v>
      </c>
      <c r="AA175" s="3">
        <v>5</v>
      </c>
      <c r="AB175" s="3">
        <v>0</v>
      </c>
      <c r="AC175" s="5">
        <v>3.3</v>
      </c>
      <c r="AD175" s="4">
        <v>1</v>
      </c>
      <c r="AE175" s="4">
        <v>0.66</v>
      </c>
      <c r="AF175" s="4">
        <v>0</v>
      </c>
      <c r="AG175" s="4">
        <v>0.34</v>
      </c>
      <c r="AH175" s="4">
        <v>0.61</v>
      </c>
      <c r="AI175" s="4">
        <v>0.4</v>
      </c>
      <c r="AJ175" t="s">
        <v>60</v>
      </c>
      <c r="AK175" t="s">
        <v>86</v>
      </c>
      <c r="AL175" t="s">
        <v>62</v>
      </c>
      <c r="AM175" t="s">
        <v>73</v>
      </c>
      <c r="AN175" t="s">
        <v>64</v>
      </c>
      <c r="AO175" t="s">
        <v>74</v>
      </c>
      <c r="AP175" t="s">
        <v>75</v>
      </c>
    </row>
    <row r="176" spans="1:42" x14ac:dyDescent="0.25">
      <c r="A176" t="str">
        <f>HYPERLINK("HTTP://10.0.1.74/krs/363/detail","/krs/363")</f>
        <v>/krs/363</v>
      </c>
      <c r="B176">
        <v>363</v>
      </c>
      <c r="C176" t="s">
        <v>80</v>
      </c>
      <c r="D176" t="s">
        <v>140</v>
      </c>
      <c r="E176" t="s">
        <v>141</v>
      </c>
      <c r="F176" t="s">
        <v>115</v>
      </c>
      <c r="G176" s="1">
        <v>43094</v>
      </c>
      <c r="H176" t="s">
        <v>212</v>
      </c>
      <c r="I176" t="s">
        <v>51</v>
      </c>
      <c r="K176" s="3">
        <v>298</v>
      </c>
      <c r="L176" s="3">
        <v>209</v>
      </c>
      <c r="M176" s="3">
        <v>507</v>
      </c>
      <c r="N176" s="4">
        <v>0.59</v>
      </c>
      <c r="O176" s="3">
        <v>13</v>
      </c>
      <c r="P176" s="3"/>
      <c r="Q176" s="3">
        <v>5</v>
      </c>
      <c r="R176" s="3">
        <v>13</v>
      </c>
      <c r="S176" s="5">
        <v>3.4</v>
      </c>
      <c r="T176" s="5">
        <v>3.3</v>
      </c>
      <c r="U176" s="4">
        <v>0.66</v>
      </c>
      <c r="V176" s="4">
        <v>0.59</v>
      </c>
      <c r="W176" s="4">
        <v>0.85</v>
      </c>
      <c r="X176" s="4">
        <v>0.89</v>
      </c>
      <c r="Y176" s="4">
        <v>0.38</v>
      </c>
      <c r="Z176" s="4">
        <v>0.41</v>
      </c>
      <c r="AA176" s="3">
        <v>13</v>
      </c>
      <c r="AB176" s="3">
        <v>5</v>
      </c>
      <c r="AC176" s="5">
        <v>3.3</v>
      </c>
      <c r="AD176" s="4">
        <v>0.62</v>
      </c>
      <c r="AE176" s="4">
        <v>0.66</v>
      </c>
      <c r="AF176" s="4">
        <v>0.38</v>
      </c>
      <c r="AG176" s="4">
        <v>0.34</v>
      </c>
      <c r="AH176" s="4">
        <v>0.68</v>
      </c>
      <c r="AI176" s="4">
        <v>0.6</v>
      </c>
      <c r="AJ176" t="s">
        <v>72</v>
      </c>
      <c r="AK176" t="s">
        <v>86</v>
      </c>
      <c r="AL176" t="s">
        <v>62</v>
      </c>
      <c r="AM176" t="s">
        <v>104</v>
      </c>
      <c r="AN176" t="s">
        <v>97</v>
      </c>
      <c r="AO176" t="s">
        <v>65</v>
      </c>
      <c r="AP176" t="s">
        <v>75</v>
      </c>
    </row>
    <row r="177" spans="1:42" x14ac:dyDescent="0.25">
      <c r="A177" t="str">
        <f>HYPERLINK("HTTP://10.0.1.74/krs/366/detail","/krs/366")</f>
        <v>/krs/366</v>
      </c>
      <c r="B177">
        <v>366</v>
      </c>
      <c r="C177" t="s">
        <v>80</v>
      </c>
      <c r="D177" t="s">
        <v>140</v>
      </c>
      <c r="E177" t="s">
        <v>141</v>
      </c>
      <c r="F177" t="s">
        <v>139</v>
      </c>
      <c r="G177" s="1">
        <v>43094</v>
      </c>
      <c r="H177" t="s">
        <v>212</v>
      </c>
      <c r="I177" t="s">
        <v>51</v>
      </c>
      <c r="K177" s="3">
        <v>292</v>
      </c>
      <c r="L177" s="3">
        <v>176</v>
      </c>
      <c r="M177" s="3">
        <v>468</v>
      </c>
      <c r="N177" s="4">
        <v>0.62</v>
      </c>
      <c r="O177" s="3">
        <v>12</v>
      </c>
      <c r="P177" s="3"/>
      <c r="Q177" s="3">
        <v>5</v>
      </c>
      <c r="R177" s="3">
        <v>12</v>
      </c>
      <c r="S177" s="5">
        <v>3.5</v>
      </c>
      <c r="T177" s="5">
        <v>3.3</v>
      </c>
      <c r="U177" s="4">
        <v>0.65</v>
      </c>
      <c r="V177" s="4">
        <v>0.62</v>
      </c>
      <c r="W177" s="4">
        <v>0.92</v>
      </c>
      <c r="X177" s="4">
        <v>0.94</v>
      </c>
      <c r="Y177" s="4">
        <v>0.42</v>
      </c>
      <c r="Z177" s="4">
        <v>0.38</v>
      </c>
      <c r="AA177" s="3">
        <v>11</v>
      </c>
      <c r="AB177" s="3">
        <v>2</v>
      </c>
      <c r="AC177" s="5">
        <v>3.3</v>
      </c>
      <c r="AD177" s="4">
        <v>0.82</v>
      </c>
      <c r="AE177" s="4">
        <v>0.66</v>
      </c>
      <c r="AF177" s="4">
        <v>0.18</v>
      </c>
      <c r="AG177" s="4">
        <v>0.34</v>
      </c>
      <c r="AH177" s="4">
        <v>0.73</v>
      </c>
      <c r="AI177" s="4">
        <v>0.65</v>
      </c>
      <c r="AJ177" t="s">
        <v>72</v>
      </c>
      <c r="AK177" t="s">
        <v>61</v>
      </c>
      <c r="AL177" t="s">
        <v>62</v>
      </c>
      <c r="AM177" t="s">
        <v>63</v>
      </c>
      <c r="AN177" t="s">
        <v>64</v>
      </c>
      <c r="AO177" t="s">
        <v>79</v>
      </c>
      <c r="AP177" t="s">
        <v>66</v>
      </c>
    </row>
    <row r="178" spans="1:42" x14ac:dyDescent="0.25">
      <c r="A178" t="str">
        <f>HYPERLINK("HTTP://10.0.1.74/krs/367/detail","/krs/367")</f>
        <v>/krs/367</v>
      </c>
      <c r="B178">
        <v>367</v>
      </c>
      <c r="C178" t="s">
        <v>80</v>
      </c>
      <c r="D178" t="s">
        <v>140</v>
      </c>
      <c r="E178" t="s">
        <v>141</v>
      </c>
      <c r="F178" t="s">
        <v>76</v>
      </c>
      <c r="G178" s="1">
        <v>43094</v>
      </c>
      <c r="H178" t="s">
        <v>212</v>
      </c>
      <c r="I178" t="s">
        <v>51</v>
      </c>
      <c r="K178" s="3">
        <v>239</v>
      </c>
      <c r="L178" s="3">
        <v>112</v>
      </c>
      <c r="M178" s="3">
        <v>351</v>
      </c>
      <c r="N178" s="4">
        <v>0.68</v>
      </c>
      <c r="O178" s="3">
        <v>9</v>
      </c>
      <c r="P178" s="3"/>
      <c r="Q178" s="3">
        <v>4</v>
      </c>
      <c r="R178" s="3">
        <v>9</v>
      </c>
      <c r="S178" s="5">
        <v>3.7</v>
      </c>
      <c r="T178" s="5">
        <v>3</v>
      </c>
      <c r="U178" s="4">
        <v>0.6</v>
      </c>
      <c r="V178" s="4">
        <v>0.68</v>
      </c>
      <c r="W178" s="4">
        <v>0.78</v>
      </c>
      <c r="X178" s="4">
        <v>0.96</v>
      </c>
      <c r="Y178" s="4">
        <v>0.44</v>
      </c>
      <c r="Z178" s="4">
        <v>0.32</v>
      </c>
      <c r="AA178" s="3">
        <v>7</v>
      </c>
      <c r="AB178" s="3">
        <v>2</v>
      </c>
      <c r="AC178" s="5">
        <v>3.6</v>
      </c>
      <c r="AD178" s="4">
        <v>1</v>
      </c>
      <c r="AE178" s="4">
        <v>0.71</v>
      </c>
      <c r="AF178" s="4">
        <v>0.28999999999999998</v>
      </c>
      <c r="AG178" s="4">
        <v>0.28999999999999998</v>
      </c>
      <c r="AH178" s="4">
        <v>0.79</v>
      </c>
      <c r="AI178" s="4">
        <v>0.67</v>
      </c>
      <c r="AJ178" t="s">
        <v>72</v>
      </c>
      <c r="AK178" t="s">
        <v>61</v>
      </c>
      <c r="AL178" t="s">
        <v>62</v>
      </c>
      <c r="AM178" t="s">
        <v>63</v>
      </c>
      <c r="AN178" t="s">
        <v>64</v>
      </c>
      <c r="AO178" t="s">
        <v>79</v>
      </c>
      <c r="AP178" t="s">
        <v>66</v>
      </c>
    </row>
    <row r="179" spans="1:42" x14ac:dyDescent="0.25">
      <c r="A179" t="str">
        <f>HYPERLINK("HTTP://10.0.1.74/krs/368/detail","/krs/368")</f>
        <v>/krs/368</v>
      </c>
      <c r="B179">
        <v>368</v>
      </c>
      <c r="C179" t="s">
        <v>53</v>
      </c>
      <c r="D179" t="s">
        <v>228</v>
      </c>
      <c r="E179" t="s">
        <v>160</v>
      </c>
      <c r="F179" t="s">
        <v>112</v>
      </c>
      <c r="G179" s="1">
        <v>43105</v>
      </c>
      <c r="H179" t="s">
        <v>128</v>
      </c>
      <c r="I179" t="s">
        <v>51</v>
      </c>
      <c r="J179" t="s">
        <v>256</v>
      </c>
      <c r="K179" s="3">
        <v>128</v>
      </c>
      <c r="L179" s="3">
        <v>40</v>
      </c>
      <c r="M179" s="3">
        <v>168</v>
      </c>
      <c r="N179" s="4">
        <v>0.76</v>
      </c>
      <c r="O179" s="3">
        <v>4</v>
      </c>
      <c r="P179" s="3"/>
      <c r="Q179" s="3">
        <v>4</v>
      </c>
      <c r="R179" s="3">
        <v>4</v>
      </c>
      <c r="S179" s="5">
        <v>4.0999999999999996</v>
      </c>
      <c r="T179" s="5">
        <v>4.3</v>
      </c>
      <c r="U179" s="4">
        <v>0.85</v>
      </c>
      <c r="V179" s="4">
        <v>0.76</v>
      </c>
      <c r="W179" s="4">
        <v>1</v>
      </c>
      <c r="X179" s="4">
        <v>0.89</v>
      </c>
      <c r="Y179" s="4">
        <v>1</v>
      </c>
      <c r="Z179" s="4">
        <v>0.24</v>
      </c>
      <c r="AA179" s="3">
        <v>4</v>
      </c>
      <c r="AB179" s="3">
        <v>4</v>
      </c>
      <c r="AC179" s="5">
        <v>4.3</v>
      </c>
      <c r="AD179" s="4">
        <v>1</v>
      </c>
      <c r="AE179" s="4">
        <v>0.85</v>
      </c>
      <c r="AF179" s="4">
        <v>1</v>
      </c>
      <c r="AG179" s="4">
        <v>0.15</v>
      </c>
      <c r="AH179" s="4">
        <v>0.79</v>
      </c>
      <c r="AI179" s="4">
        <v>0</v>
      </c>
      <c r="AJ179" t="s">
        <v>72</v>
      </c>
      <c r="AK179" t="s">
        <v>62</v>
      </c>
      <c r="AL179" t="s">
        <v>62</v>
      </c>
      <c r="AM179" t="s">
        <v>104</v>
      </c>
      <c r="AN179" t="s">
        <v>64</v>
      </c>
      <c r="AO179" t="s">
        <v>65</v>
      </c>
      <c r="AP179" t="s">
        <v>75</v>
      </c>
    </row>
    <row r="180" spans="1:42" x14ac:dyDescent="0.25">
      <c r="A180" t="str">
        <f>HYPERLINK("HTTP://10.0.1.74/krs/369/detail","/krs/369")</f>
        <v>/krs/369</v>
      </c>
      <c r="B180">
        <v>369</v>
      </c>
      <c r="C180" t="s">
        <v>257</v>
      </c>
      <c r="D180" t="s">
        <v>228</v>
      </c>
      <c r="E180" t="s">
        <v>54</v>
      </c>
      <c r="F180" t="s">
        <v>112</v>
      </c>
      <c r="G180" s="1">
        <v>43087</v>
      </c>
      <c r="H180" t="s">
        <v>128</v>
      </c>
      <c r="I180" t="s">
        <v>51</v>
      </c>
      <c r="J180" t="s">
        <v>258</v>
      </c>
      <c r="K180" s="3">
        <v>1265</v>
      </c>
      <c r="L180" s="3">
        <v>475</v>
      </c>
      <c r="M180" s="3">
        <v>1740</v>
      </c>
      <c r="N180" s="4">
        <v>0.73</v>
      </c>
      <c r="O180" s="3">
        <v>30</v>
      </c>
      <c r="P180" s="3"/>
      <c r="Q180" s="3">
        <v>23</v>
      </c>
      <c r="R180" s="3">
        <v>30</v>
      </c>
      <c r="S180" s="5">
        <v>3.9</v>
      </c>
      <c r="T180" s="5">
        <v>4</v>
      </c>
      <c r="U180" s="4">
        <v>0.79</v>
      </c>
      <c r="V180" s="4">
        <v>0.73</v>
      </c>
      <c r="W180" s="4">
        <v>0.97</v>
      </c>
      <c r="X180" s="4">
        <v>0.94</v>
      </c>
      <c r="Y180" s="4">
        <v>0.77</v>
      </c>
      <c r="Z180" s="4">
        <v>0.27</v>
      </c>
      <c r="AA180" s="3">
        <v>30</v>
      </c>
      <c r="AB180" s="3">
        <v>20</v>
      </c>
      <c r="AC180" s="5">
        <v>3.9</v>
      </c>
      <c r="AD180" s="4">
        <v>0.97</v>
      </c>
      <c r="AE180" s="4">
        <v>0.78</v>
      </c>
      <c r="AF180" s="4">
        <v>0.67</v>
      </c>
      <c r="AG180" s="4">
        <v>0.22</v>
      </c>
      <c r="AH180" s="4">
        <v>0.81</v>
      </c>
      <c r="AI180" s="4">
        <v>0</v>
      </c>
      <c r="AJ180" t="s">
        <v>72</v>
      </c>
      <c r="AK180" t="s">
        <v>62</v>
      </c>
      <c r="AL180" t="s">
        <v>62</v>
      </c>
      <c r="AM180" t="s">
        <v>63</v>
      </c>
      <c r="AN180" t="s">
        <v>64</v>
      </c>
      <c r="AO180" t="s">
        <v>65</v>
      </c>
      <c r="AP180" t="s">
        <v>66</v>
      </c>
    </row>
    <row r="181" spans="1:42" x14ac:dyDescent="0.25">
      <c r="A181" t="str">
        <f>HYPERLINK("HTTP://10.0.1.74/krs/370/detail","/krs/370")</f>
        <v>/krs/370</v>
      </c>
      <c r="B181">
        <v>370</v>
      </c>
      <c r="C181" t="s">
        <v>259</v>
      </c>
      <c r="D181" t="s">
        <v>140</v>
      </c>
      <c r="E181" t="s">
        <v>98</v>
      </c>
      <c r="F181" t="s">
        <v>260</v>
      </c>
      <c r="G181" s="1">
        <v>43084</v>
      </c>
      <c r="H181" t="s">
        <v>174</v>
      </c>
      <c r="I181" t="s">
        <v>51</v>
      </c>
      <c r="J181" t="s">
        <v>261</v>
      </c>
      <c r="K181" s="3">
        <v>896</v>
      </c>
      <c r="L181" s="3">
        <v>404</v>
      </c>
      <c r="M181" s="3">
        <v>1300</v>
      </c>
      <c r="N181" s="4">
        <v>0.69</v>
      </c>
      <c r="O181" s="3">
        <v>13</v>
      </c>
      <c r="P181" s="3"/>
      <c r="Q181" s="3">
        <v>0</v>
      </c>
      <c r="R181" s="3">
        <v>13</v>
      </c>
      <c r="S181" s="5">
        <v>3.8</v>
      </c>
      <c r="T181" s="5">
        <v>1</v>
      </c>
      <c r="U181" s="4">
        <v>0.2</v>
      </c>
      <c r="V181" s="4">
        <v>0.69</v>
      </c>
      <c r="W181" s="4">
        <v>0</v>
      </c>
      <c r="X181" s="4">
        <v>0</v>
      </c>
      <c r="Y181" s="4">
        <v>0</v>
      </c>
      <c r="Z181" s="4">
        <v>0.31</v>
      </c>
      <c r="AA181" s="3">
        <v>0</v>
      </c>
      <c r="AB181" s="3">
        <v>0</v>
      </c>
      <c r="AC181" s="5">
        <v>0</v>
      </c>
      <c r="AD181" s="4">
        <v>0</v>
      </c>
      <c r="AE181" s="4">
        <v>0</v>
      </c>
      <c r="AF181" s="4">
        <v>0</v>
      </c>
      <c r="AG181" s="4">
        <v>1</v>
      </c>
      <c r="AH181" s="4">
        <v>0.76</v>
      </c>
      <c r="AI181" s="4">
        <v>0.67</v>
      </c>
      <c r="AJ181" t="s">
        <v>60</v>
      </c>
      <c r="AK181" t="s">
        <v>61</v>
      </c>
      <c r="AL181" t="s">
        <v>86</v>
      </c>
      <c r="AM181" t="s">
        <v>63</v>
      </c>
      <c r="AN181" t="s">
        <v>97</v>
      </c>
      <c r="AO181" t="s">
        <v>79</v>
      </c>
      <c r="AP181" t="s">
        <v>75</v>
      </c>
    </row>
    <row r="182" spans="1:42" x14ac:dyDescent="0.25">
      <c r="A182" t="str">
        <f>HYPERLINK("HTTP://10.0.1.74/krs/372/detail","/krs/372")</f>
        <v>/krs/372</v>
      </c>
      <c r="B182">
        <v>372</v>
      </c>
      <c r="C182" t="s">
        <v>46</v>
      </c>
      <c r="D182" t="s">
        <v>140</v>
      </c>
      <c r="E182" t="s">
        <v>68</v>
      </c>
      <c r="F182" t="s">
        <v>116</v>
      </c>
      <c r="G182" s="1">
        <v>43088</v>
      </c>
      <c r="H182" t="s">
        <v>224</v>
      </c>
      <c r="I182" t="s">
        <v>51</v>
      </c>
      <c r="K182" s="3">
        <v>251</v>
      </c>
      <c r="L182" s="3">
        <v>69</v>
      </c>
      <c r="M182" s="3">
        <v>320</v>
      </c>
      <c r="N182" s="4">
        <v>0.78</v>
      </c>
      <c r="O182" s="3">
        <v>16</v>
      </c>
      <c r="P182" s="3"/>
      <c r="Q182" s="3">
        <v>16</v>
      </c>
      <c r="R182" s="3">
        <v>16</v>
      </c>
      <c r="S182" s="5">
        <v>4.0999999999999996</v>
      </c>
      <c r="T182" s="5">
        <v>4.3</v>
      </c>
      <c r="U182" s="4">
        <v>0.86</v>
      </c>
      <c r="V182" s="4">
        <v>0.78</v>
      </c>
      <c r="W182" s="4">
        <v>1</v>
      </c>
      <c r="X182" s="4">
        <v>0</v>
      </c>
      <c r="Y182" s="4">
        <v>1</v>
      </c>
      <c r="Z182" s="4">
        <v>0.22</v>
      </c>
      <c r="AA182" s="3">
        <v>0</v>
      </c>
      <c r="AB182" s="3">
        <v>0</v>
      </c>
      <c r="AC182" s="5">
        <v>0</v>
      </c>
      <c r="AD182" s="4">
        <v>0</v>
      </c>
      <c r="AE182" s="4">
        <v>0</v>
      </c>
      <c r="AF182" s="4">
        <v>0</v>
      </c>
      <c r="AG182" s="4">
        <v>1</v>
      </c>
      <c r="AH182" s="4">
        <v>0.79</v>
      </c>
      <c r="AI182" s="4">
        <v>0</v>
      </c>
      <c r="AJ182" t="s">
        <v>72</v>
      </c>
      <c r="AK182" t="s">
        <v>62</v>
      </c>
      <c r="AL182" t="s">
        <v>62</v>
      </c>
      <c r="AM182" t="s">
        <v>63</v>
      </c>
      <c r="AN182" t="s">
        <v>64</v>
      </c>
      <c r="AO182" t="s">
        <v>79</v>
      </c>
      <c r="AP182" t="s">
        <v>75</v>
      </c>
    </row>
    <row r="183" spans="1:42" x14ac:dyDescent="0.25">
      <c r="A183" t="str">
        <f>HYPERLINK("HTTP://10.0.1.74/krs/374/detail","/krs/374")</f>
        <v>/krs/374</v>
      </c>
      <c r="B183">
        <v>374</v>
      </c>
      <c r="C183" t="s">
        <v>53</v>
      </c>
      <c r="D183" t="s">
        <v>140</v>
      </c>
      <c r="E183" t="s">
        <v>87</v>
      </c>
      <c r="F183" t="s">
        <v>112</v>
      </c>
      <c r="G183" s="1">
        <v>43089</v>
      </c>
      <c r="H183" t="s">
        <v>144</v>
      </c>
      <c r="I183" t="s">
        <v>51</v>
      </c>
      <c r="J183" t="s">
        <v>262</v>
      </c>
      <c r="K183" s="3">
        <v>21</v>
      </c>
      <c r="L183" s="3">
        <v>20</v>
      </c>
      <c r="M183" s="3">
        <v>41</v>
      </c>
      <c r="N183" s="4">
        <v>0.51</v>
      </c>
      <c r="O183" s="3">
        <v>1</v>
      </c>
      <c r="P183" s="3"/>
      <c r="Q183" s="3">
        <v>0</v>
      </c>
      <c r="R183" s="3">
        <v>1</v>
      </c>
      <c r="S183" s="5">
        <v>3</v>
      </c>
      <c r="T183" s="5">
        <v>2</v>
      </c>
      <c r="U183" s="4">
        <v>0.4</v>
      </c>
      <c r="V183" s="4">
        <v>0.51</v>
      </c>
      <c r="W183" s="4">
        <v>0</v>
      </c>
      <c r="X183" s="4">
        <v>0.73</v>
      </c>
      <c r="Y183" s="4">
        <v>0</v>
      </c>
      <c r="Z183" s="4">
        <v>0.49</v>
      </c>
      <c r="AA183" s="3">
        <v>1</v>
      </c>
      <c r="AB183" s="3">
        <v>0</v>
      </c>
      <c r="AC183" s="5">
        <v>3.5</v>
      </c>
      <c r="AD183" s="4">
        <v>1</v>
      </c>
      <c r="AE183" s="4">
        <v>0.7</v>
      </c>
      <c r="AF183" s="4">
        <v>0</v>
      </c>
      <c r="AG183" s="4">
        <v>0.3</v>
      </c>
      <c r="AH183" s="4">
        <v>0.61</v>
      </c>
      <c r="AI183" s="4">
        <v>0.41</v>
      </c>
      <c r="AJ183" t="s">
        <v>60</v>
      </c>
      <c r="AK183" t="s">
        <v>86</v>
      </c>
      <c r="AL183" t="s">
        <v>86</v>
      </c>
      <c r="AM183" t="s">
        <v>73</v>
      </c>
      <c r="AN183" t="s">
        <v>97</v>
      </c>
      <c r="AO183" t="s">
        <v>74</v>
      </c>
      <c r="AP183" t="s">
        <v>75</v>
      </c>
    </row>
    <row r="184" spans="1:42" x14ac:dyDescent="0.25">
      <c r="A184" t="str">
        <f>HYPERLINK("HTTP://10.0.1.74/krs/375/detail","/krs/375")</f>
        <v>/krs/375</v>
      </c>
      <c r="B184">
        <v>375</v>
      </c>
      <c r="C184" t="s">
        <v>53</v>
      </c>
      <c r="D184" t="s">
        <v>140</v>
      </c>
      <c r="E184" t="s">
        <v>157</v>
      </c>
      <c r="F184" t="s">
        <v>126</v>
      </c>
      <c r="G184" s="1">
        <v>43087</v>
      </c>
      <c r="H184" t="s">
        <v>243</v>
      </c>
      <c r="I184" t="s">
        <v>51</v>
      </c>
      <c r="J184" t="s">
        <v>263</v>
      </c>
      <c r="K184" s="3">
        <v>359</v>
      </c>
      <c r="L184" s="3">
        <v>191</v>
      </c>
      <c r="M184" s="3">
        <v>550</v>
      </c>
      <c r="N184" s="4">
        <v>0.65</v>
      </c>
      <c r="O184" s="3">
        <v>25</v>
      </c>
      <c r="P184" s="3"/>
      <c r="Q184" s="3">
        <v>21</v>
      </c>
      <c r="R184" s="3">
        <v>25</v>
      </c>
      <c r="S184" s="5">
        <v>3.6</v>
      </c>
      <c r="T184" s="5">
        <v>4.0999999999999996</v>
      </c>
      <c r="U184" s="4">
        <v>0.82</v>
      </c>
      <c r="V184" s="4">
        <v>0.65</v>
      </c>
      <c r="W184" s="4">
        <v>1</v>
      </c>
      <c r="X184" s="4">
        <v>0.76</v>
      </c>
      <c r="Y184" s="4">
        <v>0.84</v>
      </c>
      <c r="Z184" s="4">
        <v>0.35</v>
      </c>
      <c r="AA184" s="3">
        <v>25</v>
      </c>
      <c r="AB184" s="3">
        <v>22</v>
      </c>
      <c r="AC184" s="5">
        <v>4.3</v>
      </c>
      <c r="AD184" s="4">
        <v>1</v>
      </c>
      <c r="AE184" s="4">
        <v>0.86</v>
      </c>
      <c r="AF184" s="4">
        <v>0.88</v>
      </c>
      <c r="AG184" s="4">
        <v>0.14000000000000001</v>
      </c>
      <c r="AH184" s="4">
        <v>0.72</v>
      </c>
      <c r="AI184" s="4">
        <v>0.57999999999999996</v>
      </c>
      <c r="AJ184" t="s">
        <v>60</v>
      </c>
      <c r="AK184" t="s">
        <v>61</v>
      </c>
      <c r="AL184" t="s">
        <v>62</v>
      </c>
      <c r="AM184" t="s">
        <v>73</v>
      </c>
      <c r="AN184" t="s">
        <v>97</v>
      </c>
      <c r="AO184" t="s">
        <v>74</v>
      </c>
      <c r="AP184" t="s">
        <v>75</v>
      </c>
    </row>
    <row r="185" spans="1:42" x14ac:dyDescent="0.25">
      <c r="A185" t="str">
        <f>HYPERLINK("HTTP://10.0.1.74/krs/376/detail","/krs/376")</f>
        <v>/krs/376</v>
      </c>
      <c r="B185">
        <v>376</v>
      </c>
      <c r="C185" t="s">
        <v>264</v>
      </c>
      <c r="D185" t="s">
        <v>140</v>
      </c>
      <c r="E185" t="s">
        <v>87</v>
      </c>
      <c r="F185" t="s">
        <v>126</v>
      </c>
      <c r="G185" s="1">
        <v>43089</v>
      </c>
      <c r="H185" t="s">
        <v>88</v>
      </c>
      <c r="I185" t="s">
        <v>51</v>
      </c>
      <c r="J185" t="s">
        <v>265</v>
      </c>
      <c r="K185" s="3">
        <v>416</v>
      </c>
      <c r="L185" s="3">
        <v>320</v>
      </c>
      <c r="M185" s="3">
        <v>736</v>
      </c>
      <c r="N185" s="4">
        <v>0.56999999999999995</v>
      </c>
      <c r="O185" s="3">
        <v>16</v>
      </c>
      <c r="P185" s="3"/>
      <c r="Q185" s="3">
        <v>7</v>
      </c>
      <c r="R185" s="3">
        <v>16</v>
      </c>
      <c r="S185" s="5">
        <v>3.3</v>
      </c>
      <c r="T185" s="5">
        <v>3.5</v>
      </c>
      <c r="U185" s="4">
        <v>0.7</v>
      </c>
      <c r="V185" s="4">
        <v>0.56999999999999995</v>
      </c>
      <c r="W185" s="4">
        <v>1</v>
      </c>
      <c r="X185" s="4">
        <v>0.73</v>
      </c>
      <c r="Y185" s="4">
        <v>0.44</v>
      </c>
      <c r="Z185" s="4">
        <v>0.43</v>
      </c>
      <c r="AA185" s="3">
        <v>16</v>
      </c>
      <c r="AB185" s="3">
        <v>11</v>
      </c>
      <c r="AC185" s="5">
        <v>3.9</v>
      </c>
      <c r="AD185" s="4">
        <v>1</v>
      </c>
      <c r="AE185" s="4">
        <v>0.78</v>
      </c>
      <c r="AF185" s="4">
        <v>0.69</v>
      </c>
      <c r="AG185" s="4">
        <v>0.22</v>
      </c>
      <c r="AH185" s="4">
        <v>0.59</v>
      </c>
      <c r="AI185" s="4">
        <v>0.53</v>
      </c>
      <c r="AJ185" t="s">
        <v>60</v>
      </c>
      <c r="AK185" t="s">
        <v>86</v>
      </c>
      <c r="AL185" t="s">
        <v>62</v>
      </c>
      <c r="AM185" t="s">
        <v>73</v>
      </c>
      <c r="AN185" t="s">
        <v>64</v>
      </c>
      <c r="AO185" t="s">
        <v>74</v>
      </c>
      <c r="AP185" t="s">
        <v>75</v>
      </c>
    </row>
    <row r="186" spans="1:42" x14ac:dyDescent="0.25">
      <c r="A186" t="str">
        <f>HYPERLINK("HTTP://10.0.1.74/krs/377/detail","/krs/377")</f>
        <v>/krs/377</v>
      </c>
      <c r="B186">
        <v>377</v>
      </c>
      <c r="C186" t="s">
        <v>266</v>
      </c>
      <c r="D186" t="s">
        <v>228</v>
      </c>
      <c r="E186" t="s">
        <v>87</v>
      </c>
      <c r="F186" t="s">
        <v>267</v>
      </c>
      <c r="G186" s="1">
        <v>43122</v>
      </c>
      <c r="H186" t="s">
        <v>231</v>
      </c>
      <c r="I186" t="s">
        <v>51</v>
      </c>
      <c r="K186" s="3"/>
      <c r="L186" s="3"/>
      <c r="M186" s="3"/>
      <c r="N186" s="4"/>
      <c r="O186" s="3"/>
      <c r="P186" s="3"/>
      <c r="Q186" s="3"/>
      <c r="R186" s="3"/>
      <c r="S186" s="5"/>
      <c r="T186" s="5"/>
      <c r="U186" s="4"/>
      <c r="V186" s="4"/>
      <c r="W186" s="4"/>
      <c r="X186" s="4"/>
      <c r="Y186" s="4"/>
      <c r="Z186" s="4"/>
      <c r="AA186" s="3"/>
      <c r="AB186" s="3"/>
      <c r="AC186" s="5"/>
      <c r="AD186" s="4"/>
      <c r="AE186" s="4"/>
      <c r="AF186" s="4"/>
      <c r="AG186" s="4"/>
      <c r="AH186" s="4"/>
      <c r="AI186" s="4"/>
      <c r="AJ186" t="s">
        <v>52</v>
      </c>
      <c r="AK186" t="s">
        <v>52</v>
      </c>
      <c r="AL186" t="s">
        <v>52</v>
      </c>
      <c r="AM186" t="s">
        <v>52</v>
      </c>
      <c r="AN186" t="s">
        <v>52</v>
      </c>
      <c r="AO186" t="s">
        <v>52</v>
      </c>
      <c r="AP186" t="s">
        <v>52</v>
      </c>
    </row>
    <row r="187" spans="1:42" x14ac:dyDescent="0.25">
      <c r="A187" t="str">
        <f>HYPERLINK("HTTP://10.0.1.74/krs/378/detail","/krs/378")</f>
        <v>/krs/378</v>
      </c>
      <c r="B187">
        <v>378</v>
      </c>
      <c r="C187" t="s">
        <v>53</v>
      </c>
      <c r="D187" t="s">
        <v>140</v>
      </c>
      <c r="E187" t="s">
        <v>98</v>
      </c>
      <c r="F187" t="s">
        <v>126</v>
      </c>
      <c r="G187" s="1">
        <v>43084</v>
      </c>
      <c r="H187" t="s">
        <v>190</v>
      </c>
      <c r="I187" t="s">
        <v>57</v>
      </c>
      <c r="J187" t="s">
        <v>268</v>
      </c>
      <c r="K187" s="3">
        <v>330</v>
      </c>
      <c r="L187" s="3">
        <v>90</v>
      </c>
      <c r="M187" s="3">
        <v>420</v>
      </c>
      <c r="N187" s="4">
        <v>0.79</v>
      </c>
      <c r="O187" s="3">
        <v>6</v>
      </c>
      <c r="P187" s="3"/>
      <c r="Q187" s="3">
        <v>5</v>
      </c>
      <c r="R187" s="3">
        <v>6</v>
      </c>
      <c r="S187" s="5">
        <v>4.0999999999999996</v>
      </c>
      <c r="T187" s="5">
        <v>4.2</v>
      </c>
      <c r="U187" s="4">
        <v>0.83</v>
      </c>
      <c r="V187" s="4">
        <v>0.79</v>
      </c>
      <c r="W187" s="4">
        <v>1</v>
      </c>
      <c r="X187" s="4">
        <v>0.91</v>
      </c>
      <c r="Y187" s="4">
        <v>0.83</v>
      </c>
      <c r="Z187" s="4">
        <v>0.21</v>
      </c>
      <c r="AA187" s="3">
        <v>6</v>
      </c>
      <c r="AB187" s="3">
        <v>6</v>
      </c>
      <c r="AC187" s="5">
        <v>4.3</v>
      </c>
      <c r="AD187" s="4">
        <v>1</v>
      </c>
      <c r="AE187" s="4">
        <v>0.87</v>
      </c>
      <c r="AF187" s="4">
        <v>1</v>
      </c>
      <c r="AG187" s="4">
        <v>0.13</v>
      </c>
      <c r="AH187" s="4">
        <v>0.82</v>
      </c>
      <c r="AI187" s="4">
        <v>0.75</v>
      </c>
      <c r="AJ187" t="s">
        <v>72</v>
      </c>
      <c r="AK187" t="s">
        <v>62</v>
      </c>
      <c r="AL187" t="s">
        <v>62</v>
      </c>
      <c r="AM187" t="s">
        <v>104</v>
      </c>
      <c r="AN187" t="s">
        <v>64</v>
      </c>
      <c r="AO187" t="s">
        <v>65</v>
      </c>
      <c r="AP187" t="s">
        <v>66</v>
      </c>
    </row>
    <row r="188" spans="1:42" x14ac:dyDescent="0.25">
      <c r="A188" t="str">
        <f>HYPERLINK("HTTP://10.0.1.74/krs/381/detail","/krs/381")</f>
        <v>/krs/381</v>
      </c>
      <c r="B188">
        <v>381</v>
      </c>
      <c r="C188" t="s">
        <v>92</v>
      </c>
      <c r="D188" t="s">
        <v>140</v>
      </c>
      <c r="E188" t="s">
        <v>68</v>
      </c>
      <c r="F188" t="s">
        <v>112</v>
      </c>
      <c r="G188" s="1">
        <v>43088</v>
      </c>
      <c r="H188" t="s">
        <v>269</v>
      </c>
      <c r="I188" t="s">
        <v>51</v>
      </c>
      <c r="K188" s="3">
        <v>83</v>
      </c>
      <c r="L188" s="3">
        <v>205</v>
      </c>
      <c r="M188" s="3">
        <v>288</v>
      </c>
      <c r="N188" s="4">
        <v>0.28999999999999998</v>
      </c>
      <c r="O188" s="3">
        <v>9</v>
      </c>
      <c r="P188" s="3"/>
      <c r="Q188" s="3">
        <v>5</v>
      </c>
      <c r="R188" s="3">
        <v>9</v>
      </c>
      <c r="S188" s="5">
        <v>2.1</v>
      </c>
      <c r="T188" s="5">
        <v>3.6</v>
      </c>
      <c r="U188" s="4">
        <v>0.71</v>
      </c>
      <c r="V188" s="4">
        <v>0.28999999999999998</v>
      </c>
      <c r="W188" s="4">
        <v>1</v>
      </c>
      <c r="X188" s="4">
        <v>0</v>
      </c>
      <c r="Y188" s="4">
        <v>0.56000000000000005</v>
      </c>
      <c r="Z188" s="4">
        <v>0.71</v>
      </c>
      <c r="AA188" s="3">
        <v>0</v>
      </c>
      <c r="AB188" s="3">
        <v>0</v>
      </c>
      <c r="AC188" s="5">
        <v>0</v>
      </c>
      <c r="AD188" s="4">
        <v>0</v>
      </c>
      <c r="AE188" s="4">
        <v>0</v>
      </c>
      <c r="AF188" s="4">
        <v>0</v>
      </c>
      <c r="AG188" s="4">
        <v>1</v>
      </c>
      <c r="AH188" s="4">
        <v>0.81</v>
      </c>
      <c r="AI188" s="4">
        <v>0.24</v>
      </c>
      <c r="AJ188" t="s">
        <v>60</v>
      </c>
      <c r="AK188" t="s">
        <v>86</v>
      </c>
      <c r="AL188" t="s">
        <v>62</v>
      </c>
      <c r="AM188" t="s">
        <v>63</v>
      </c>
      <c r="AN188" t="s">
        <v>64</v>
      </c>
      <c r="AO188" t="s">
        <v>79</v>
      </c>
      <c r="AP188" t="s">
        <v>75</v>
      </c>
    </row>
    <row r="189" spans="1:42" x14ac:dyDescent="0.25">
      <c r="A189" t="str">
        <f>HYPERLINK("HTTP://10.0.1.74/krs/382/detail","/krs/382")</f>
        <v>/krs/382</v>
      </c>
      <c r="B189">
        <v>382</v>
      </c>
      <c r="C189" t="s">
        <v>53</v>
      </c>
      <c r="D189" t="s">
        <v>140</v>
      </c>
      <c r="E189" t="s">
        <v>157</v>
      </c>
      <c r="F189" t="s">
        <v>55</v>
      </c>
      <c r="G189" s="1">
        <v>43091</v>
      </c>
      <c r="H189" t="s">
        <v>158</v>
      </c>
      <c r="I189" t="s">
        <v>51</v>
      </c>
      <c r="K189" s="3">
        <v>168</v>
      </c>
      <c r="L189" s="3">
        <v>217</v>
      </c>
      <c r="M189" s="3">
        <v>385</v>
      </c>
      <c r="N189" s="4">
        <v>0.44</v>
      </c>
      <c r="O189" s="3">
        <v>11</v>
      </c>
      <c r="P189" s="3"/>
      <c r="Q189" s="3">
        <v>7</v>
      </c>
      <c r="R189" s="3">
        <v>11</v>
      </c>
      <c r="S189" s="5">
        <v>2.8</v>
      </c>
      <c r="T189" s="5">
        <v>3.5</v>
      </c>
      <c r="U189" s="4">
        <v>0.69</v>
      </c>
      <c r="V189" s="4">
        <v>0.44</v>
      </c>
      <c r="W189" s="4">
        <v>0.91</v>
      </c>
      <c r="X189" s="4">
        <v>0.52</v>
      </c>
      <c r="Y189" s="4">
        <v>0.64</v>
      </c>
      <c r="Z189" s="4">
        <v>0.56000000000000005</v>
      </c>
      <c r="AA189" s="3">
        <v>10</v>
      </c>
      <c r="AB189" s="3">
        <v>7</v>
      </c>
      <c r="AC189" s="5">
        <v>4.2</v>
      </c>
      <c r="AD189" s="4">
        <v>1</v>
      </c>
      <c r="AE189" s="4">
        <v>0.84</v>
      </c>
      <c r="AF189" s="4">
        <v>0.7</v>
      </c>
      <c r="AG189" s="4">
        <v>0.16</v>
      </c>
      <c r="AH189" s="4">
        <v>0.71</v>
      </c>
      <c r="AI189" s="4">
        <v>0.32</v>
      </c>
      <c r="AJ189" t="s">
        <v>60</v>
      </c>
      <c r="AK189" t="s">
        <v>86</v>
      </c>
      <c r="AL189" t="s">
        <v>62</v>
      </c>
      <c r="AM189" t="s">
        <v>73</v>
      </c>
      <c r="AN189" t="s">
        <v>97</v>
      </c>
      <c r="AO189" t="s">
        <v>74</v>
      </c>
      <c r="AP189" t="s">
        <v>75</v>
      </c>
    </row>
    <row r="190" spans="1:42" x14ac:dyDescent="0.25">
      <c r="A190" t="str">
        <f>HYPERLINK("HTTP://10.0.1.74/krs/383/detail","/krs/383")</f>
        <v>/krs/383</v>
      </c>
      <c r="B190">
        <v>383</v>
      </c>
      <c r="C190" t="s">
        <v>92</v>
      </c>
      <c r="D190" t="s">
        <v>140</v>
      </c>
      <c r="E190" t="s">
        <v>68</v>
      </c>
      <c r="F190" t="s">
        <v>270</v>
      </c>
      <c r="G190" s="1">
        <v>43088</v>
      </c>
      <c r="H190" t="s">
        <v>269</v>
      </c>
      <c r="I190" t="s">
        <v>57</v>
      </c>
      <c r="K190" s="3">
        <v>312</v>
      </c>
      <c r="L190" s="3">
        <v>616</v>
      </c>
      <c r="M190" s="3">
        <v>928</v>
      </c>
      <c r="N190" s="4">
        <v>0.34</v>
      </c>
      <c r="O190" s="3">
        <v>29</v>
      </c>
      <c r="P190" s="3"/>
      <c r="Q190" s="3">
        <v>19</v>
      </c>
      <c r="R190" s="3">
        <v>29</v>
      </c>
      <c r="S190" s="5">
        <v>2.2999999999999998</v>
      </c>
      <c r="T190" s="5">
        <v>3.7</v>
      </c>
      <c r="U190" s="4">
        <v>0.74</v>
      </c>
      <c r="V190" s="4">
        <v>0.34</v>
      </c>
      <c r="W190" s="4">
        <v>0.97</v>
      </c>
      <c r="X190" s="4">
        <v>0</v>
      </c>
      <c r="Y190" s="4">
        <v>0.66</v>
      </c>
      <c r="Z190" s="4">
        <v>0.66</v>
      </c>
      <c r="AA190" s="3">
        <v>0</v>
      </c>
      <c r="AB190" s="3">
        <v>0</v>
      </c>
      <c r="AC190" s="5">
        <v>0</v>
      </c>
      <c r="AD190" s="4">
        <v>0</v>
      </c>
      <c r="AE190" s="4">
        <v>0</v>
      </c>
      <c r="AF190" s="4">
        <v>0</v>
      </c>
      <c r="AG190" s="4">
        <v>1</v>
      </c>
      <c r="AH190" s="4">
        <v>0.72</v>
      </c>
      <c r="AI190" s="4">
        <v>0.35</v>
      </c>
      <c r="AJ190" t="s">
        <v>60</v>
      </c>
      <c r="AK190" t="s">
        <v>86</v>
      </c>
      <c r="AL190" t="s">
        <v>62</v>
      </c>
      <c r="AM190" t="s">
        <v>63</v>
      </c>
      <c r="AN190" t="s">
        <v>64</v>
      </c>
      <c r="AO190" t="s">
        <v>79</v>
      </c>
      <c r="AP190" t="s">
        <v>75</v>
      </c>
    </row>
    <row r="191" spans="1:42" x14ac:dyDescent="0.25">
      <c r="A191" t="str">
        <f>HYPERLINK("HTTP://10.0.1.74/krs/385/detail","/krs/385")</f>
        <v>/krs/385</v>
      </c>
      <c r="B191">
        <v>385</v>
      </c>
      <c r="C191" t="s">
        <v>46</v>
      </c>
      <c r="D191" t="s">
        <v>228</v>
      </c>
      <c r="E191" t="s">
        <v>160</v>
      </c>
      <c r="F191" t="s">
        <v>139</v>
      </c>
      <c r="G191" s="1">
        <v>43097</v>
      </c>
      <c r="H191" t="s">
        <v>271</v>
      </c>
      <c r="I191" t="s">
        <v>51</v>
      </c>
      <c r="K191" s="3">
        <v>31</v>
      </c>
      <c r="L191" s="3">
        <v>27</v>
      </c>
      <c r="M191" s="3">
        <v>58</v>
      </c>
      <c r="N191" s="4">
        <v>0.53</v>
      </c>
      <c r="O191" s="3">
        <v>2</v>
      </c>
      <c r="P191" s="3"/>
      <c r="Q191" s="3">
        <v>0</v>
      </c>
      <c r="R191" s="3">
        <v>2</v>
      </c>
      <c r="S191" s="5">
        <v>3.2</v>
      </c>
      <c r="T191" s="5">
        <v>3</v>
      </c>
      <c r="U191" s="4">
        <v>0.6</v>
      </c>
      <c r="V191" s="4">
        <v>0.53</v>
      </c>
      <c r="W191" s="4">
        <v>1</v>
      </c>
      <c r="X191" s="4">
        <v>0.62</v>
      </c>
      <c r="Y191" s="4">
        <v>0</v>
      </c>
      <c r="Z191" s="4">
        <v>0.47</v>
      </c>
      <c r="AA191" s="3">
        <v>2</v>
      </c>
      <c r="AB191" s="3">
        <v>2</v>
      </c>
      <c r="AC191" s="5">
        <v>4.3</v>
      </c>
      <c r="AD191" s="4">
        <v>1</v>
      </c>
      <c r="AE191" s="4">
        <v>0.85</v>
      </c>
      <c r="AF191" s="4">
        <v>1</v>
      </c>
      <c r="AG191" s="4">
        <v>0.15</v>
      </c>
      <c r="AH191" s="4">
        <v>0.55000000000000004</v>
      </c>
      <c r="AI191" s="4">
        <v>0</v>
      </c>
      <c r="AJ191" t="s">
        <v>72</v>
      </c>
      <c r="AK191" t="s">
        <v>86</v>
      </c>
      <c r="AL191" t="s">
        <v>62</v>
      </c>
      <c r="AM191" t="s">
        <v>73</v>
      </c>
      <c r="AN191" t="s">
        <v>64</v>
      </c>
      <c r="AO191" t="s">
        <v>74</v>
      </c>
      <c r="AP191" t="s">
        <v>75</v>
      </c>
    </row>
    <row r="192" spans="1:42" x14ac:dyDescent="0.25">
      <c r="A192" t="str">
        <f>HYPERLINK("HTTP://10.0.1.74/krs/387/detail","/krs/387")</f>
        <v>/krs/387</v>
      </c>
      <c r="B192">
        <v>387</v>
      </c>
      <c r="C192" t="s">
        <v>84</v>
      </c>
      <c r="D192" t="s">
        <v>81</v>
      </c>
      <c r="E192" t="s">
        <v>111</v>
      </c>
      <c r="F192" t="s">
        <v>95</v>
      </c>
      <c r="G192" s="1">
        <v>43094</v>
      </c>
      <c r="H192" t="s">
        <v>272</v>
      </c>
      <c r="I192" t="s">
        <v>57</v>
      </c>
      <c r="J192" t="s">
        <v>273</v>
      </c>
      <c r="K192" s="3">
        <v>1208</v>
      </c>
      <c r="L192" s="3">
        <v>812</v>
      </c>
      <c r="M192" s="3">
        <v>2020</v>
      </c>
      <c r="N192" s="4">
        <v>0.6</v>
      </c>
      <c r="O192" s="3">
        <v>101</v>
      </c>
      <c r="P192" s="3"/>
      <c r="Q192" s="3">
        <v>46</v>
      </c>
      <c r="R192" s="3">
        <v>101</v>
      </c>
      <c r="S192" s="5">
        <v>3.2</v>
      </c>
      <c r="T192" s="5">
        <v>3.4</v>
      </c>
      <c r="U192" s="4">
        <v>0.69</v>
      </c>
      <c r="V192" s="4">
        <v>0.6</v>
      </c>
      <c r="W192" s="4">
        <v>0.9</v>
      </c>
      <c r="X192" s="4">
        <v>0.88</v>
      </c>
      <c r="Y192" s="4">
        <v>0.46</v>
      </c>
      <c r="Z192" s="4">
        <v>0.4</v>
      </c>
      <c r="AA192" s="3">
        <v>101</v>
      </c>
      <c r="AB192" s="3">
        <v>32</v>
      </c>
      <c r="AC192" s="5">
        <v>3.4</v>
      </c>
      <c r="AD192" s="4">
        <v>0.74</v>
      </c>
      <c r="AE192" s="4">
        <v>0.68</v>
      </c>
      <c r="AF192" s="4">
        <v>0.32</v>
      </c>
      <c r="AG192" s="4">
        <v>0.32</v>
      </c>
      <c r="AH192" s="4">
        <v>0.69</v>
      </c>
      <c r="AI192" s="4">
        <v>0.55000000000000004</v>
      </c>
      <c r="AJ192" t="s">
        <v>72</v>
      </c>
      <c r="AK192" t="s">
        <v>61</v>
      </c>
      <c r="AL192" t="s">
        <v>62</v>
      </c>
      <c r="AM192" t="s">
        <v>104</v>
      </c>
      <c r="AN192" t="s">
        <v>64</v>
      </c>
      <c r="AO192" t="s">
        <v>65</v>
      </c>
      <c r="AP192" t="s">
        <v>75</v>
      </c>
    </row>
    <row r="193" spans="1:42" x14ac:dyDescent="0.25">
      <c r="A193" t="str">
        <f>HYPERLINK("HTTP://10.0.1.74/krs/388/detail","/krs/388")</f>
        <v>/krs/388</v>
      </c>
      <c r="B193">
        <v>388</v>
      </c>
      <c r="C193" t="s">
        <v>274</v>
      </c>
      <c r="D193" t="s">
        <v>140</v>
      </c>
      <c r="E193" t="s">
        <v>68</v>
      </c>
      <c r="F193" t="s">
        <v>112</v>
      </c>
      <c r="G193" s="1">
        <v>43117.367592592593</v>
      </c>
      <c r="H193" t="s">
        <v>275</v>
      </c>
      <c r="I193" t="s">
        <v>57</v>
      </c>
      <c r="J193" t="s">
        <v>253</v>
      </c>
      <c r="K193" s="3">
        <v>265</v>
      </c>
      <c r="L193" s="3">
        <v>135</v>
      </c>
      <c r="M193" s="3">
        <v>400</v>
      </c>
      <c r="N193" s="4">
        <v>0.66</v>
      </c>
      <c r="O193" s="3">
        <v>20</v>
      </c>
      <c r="P193" s="3"/>
      <c r="Q193" s="3">
        <v>15</v>
      </c>
      <c r="R193" s="3">
        <v>20</v>
      </c>
      <c r="S193" s="5">
        <v>3.7</v>
      </c>
      <c r="T193" s="5">
        <v>3.8</v>
      </c>
      <c r="U193" s="4">
        <v>0.76</v>
      </c>
      <c r="V193" s="4">
        <v>0.66</v>
      </c>
      <c r="W193" s="4">
        <v>1</v>
      </c>
      <c r="X193" s="4">
        <v>0.84</v>
      </c>
      <c r="Y193" s="4">
        <v>0.75</v>
      </c>
      <c r="Z193" s="4">
        <v>0.34</v>
      </c>
      <c r="AA193" s="3">
        <v>19</v>
      </c>
      <c r="AB193" s="3">
        <v>12</v>
      </c>
      <c r="AC193" s="5">
        <v>3.9</v>
      </c>
      <c r="AD193" s="4">
        <v>1</v>
      </c>
      <c r="AE193" s="4">
        <v>0.79</v>
      </c>
      <c r="AF193" s="4">
        <v>0.63</v>
      </c>
      <c r="AG193" s="4">
        <v>0.21</v>
      </c>
      <c r="AH193" s="4">
        <v>0.66</v>
      </c>
      <c r="AI193" s="4">
        <v>0</v>
      </c>
      <c r="AJ193" t="s">
        <v>60</v>
      </c>
      <c r="AK193" t="s">
        <v>61</v>
      </c>
      <c r="AL193" t="s">
        <v>62</v>
      </c>
      <c r="AM193" t="s">
        <v>73</v>
      </c>
      <c r="AN193" t="s">
        <v>64</v>
      </c>
      <c r="AO193" t="s">
        <v>74</v>
      </c>
      <c r="AP193" t="s">
        <v>75</v>
      </c>
    </row>
    <row r="194" spans="1:42" x14ac:dyDescent="0.25">
      <c r="A194" t="str">
        <f>HYPERLINK("HTTP://10.0.1.74/krs/389/detail","/krs/389")</f>
        <v>/krs/389</v>
      </c>
      <c r="B194">
        <v>389</v>
      </c>
      <c r="C194" t="s">
        <v>257</v>
      </c>
      <c r="D194" t="s">
        <v>81</v>
      </c>
      <c r="E194" t="s">
        <v>125</v>
      </c>
      <c r="F194" t="s">
        <v>108</v>
      </c>
      <c r="G194" s="1">
        <v>43117.385694444441</v>
      </c>
      <c r="H194" t="s">
        <v>127</v>
      </c>
      <c r="I194" t="s">
        <v>51</v>
      </c>
      <c r="J194" t="s">
        <v>276</v>
      </c>
      <c r="K194" s="3">
        <v>120</v>
      </c>
      <c r="L194" s="3">
        <v>75</v>
      </c>
      <c r="M194" s="3">
        <v>195</v>
      </c>
      <c r="N194" s="4">
        <v>0.62</v>
      </c>
      <c r="O194" s="3">
        <v>13</v>
      </c>
      <c r="P194" s="3"/>
      <c r="Q194" s="3">
        <v>6</v>
      </c>
      <c r="R194" s="3">
        <v>13</v>
      </c>
      <c r="S194" s="5">
        <v>3.5</v>
      </c>
      <c r="T194" s="5">
        <v>3.5</v>
      </c>
      <c r="U194" s="4">
        <v>0.69</v>
      </c>
      <c r="V194" s="4">
        <v>0.62</v>
      </c>
      <c r="W194" s="4">
        <v>0.85</v>
      </c>
      <c r="X194" s="4">
        <v>0</v>
      </c>
      <c r="Y194" s="4">
        <v>0.46</v>
      </c>
      <c r="Z194" s="4">
        <v>0.38</v>
      </c>
      <c r="AA194" s="3">
        <v>0</v>
      </c>
      <c r="AB194" s="3">
        <v>0</v>
      </c>
      <c r="AC194" s="5">
        <v>0</v>
      </c>
      <c r="AD194" s="4">
        <v>0</v>
      </c>
      <c r="AE194" s="4">
        <v>0</v>
      </c>
      <c r="AF194" s="4">
        <v>0</v>
      </c>
      <c r="AG194" s="4">
        <v>1</v>
      </c>
      <c r="AH194" s="4">
        <v>0.56999999999999995</v>
      </c>
      <c r="AI194" s="4">
        <v>0</v>
      </c>
      <c r="AJ194" t="s">
        <v>72</v>
      </c>
      <c r="AK194" t="s">
        <v>61</v>
      </c>
      <c r="AL194" t="s">
        <v>62</v>
      </c>
      <c r="AM194" t="s">
        <v>63</v>
      </c>
      <c r="AN194" t="s">
        <v>64</v>
      </c>
      <c r="AO194" t="s">
        <v>79</v>
      </c>
      <c r="AP194" t="s">
        <v>75</v>
      </c>
    </row>
    <row r="195" spans="1:42" x14ac:dyDescent="0.25">
      <c r="A195" t="str">
        <f>HYPERLINK("HTTP://10.0.1.74/krs/390/detail","/krs/390")</f>
        <v>/krs/390</v>
      </c>
      <c r="B195">
        <v>390</v>
      </c>
      <c r="C195" t="s">
        <v>92</v>
      </c>
      <c r="D195" t="s">
        <v>140</v>
      </c>
      <c r="E195" t="s">
        <v>94</v>
      </c>
      <c r="F195" t="s">
        <v>126</v>
      </c>
      <c r="G195" s="1">
        <v>43090</v>
      </c>
      <c r="H195" t="s">
        <v>277</v>
      </c>
      <c r="I195" t="s">
        <v>51</v>
      </c>
      <c r="J195" t="s">
        <v>278</v>
      </c>
      <c r="K195" s="3">
        <v>367</v>
      </c>
      <c r="L195" s="3">
        <v>452</v>
      </c>
      <c r="M195" s="3">
        <v>819</v>
      </c>
      <c r="N195" s="4">
        <v>0.45</v>
      </c>
      <c r="O195" s="3">
        <v>21</v>
      </c>
      <c r="P195" s="3"/>
      <c r="Q195" s="3">
        <v>8</v>
      </c>
      <c r="R195" s="3">
        <v>21</v>
      </c>
      <c r="S195" s="5">
        <v>2.8</v>
      </c>
      <c r="T195" s="5">
        <v>3.4</v>
      </c>
      <c r="U195" s="4">
        <v>0.68</v>
      </c>
      <c r="V195" s="4">
        <v>0.45</v>
      </c>
      <c r="W195" s="4">
        <v>1</v>
      </c>
      <c r="X195" s="4">
        <v>0</v>
      </c>
      <c r="Y195" s="4">
        <v>0.38</v>
      </c>
      <c r="Z195" s="4">
        <v>0.55000000000000004</v>
      </c>
      <c r="AA195" s="3">
        <v>0</v>
      </c>
      <c r="AB195" s="3">
        <v>0</v>
      </c>
      <c r="AC195" s="5">
        <v>0</v>
      </c>
      <c r="AD195" s="4">
        <v>0</v>
      </c>
      <c r="AE195" s="4">
        <v>0</v>
      </c>
      <c r="AF195" s="4">
        <v>0</v>
      </c>
      <c r="AG195" s="4">
        <v>1</v>
      </c>
      <c r="AH195" s="4">
        <v>0.53</v>
      </c>
      <c r="AI195" s="4">
        <v>0.4</v>
      </c>
      <c r="AJ195" t="s">
        <v>60</v>
      </c>
      <c r="AK195" t="s">
        <v>86</v>
      </c>
      <c r="AL195" t="s">
        <v>62</v>
      </c>
      <c r="AM195" t="s">
        <v>63</v>
      </c>
      <c r="AN195" t="s">
        <v>64</v>
      </c>
      <c r="AO195" t="s">
        <v>79</v>
      </c>
      <c r="AP195" t="s">
        <v>75</v>
      </c>
    </row>
    <row r="196" spans="1:42" x14ac:dyDescent="0.25">
      <c r="A196" t="str">
        <f>HYPERLINK("HTTP://10.0.1.74/krs/394/detail","/krs/394")</f>
        <v>/krs/394</v>
      </c>
      <c r="B196">
        <v>394</v>
      </c>
      <c r="C196" t="s">
        <v>46</v>
      </c>
      <c r="D196" t="s">
        <v>228</v>
      </c>
      <c r="E196" t="s">
        <v>68</v>
      </c>
      <c r="F196" t="s">
        <v>279</v>
      </c>
      <c r="G196" s="1">
        <v>43117</v>
      </c>
      <c r="H196" t="s">
        <v>210</v>
      </c>
      <c r="I196" t="s">
        <v>51</v>
      </c>
      <c r="J196" t="s">
        <v>280</v>
      </c>
      <c r="K196" s="3">
        <v>841</v>
      </c>
      <c r="L196" s="3">
        <v>160</v>
      </c>
      <c r="M196" s="3">
        <v>1001</v>
      </c>
      <c r="N196" s="4">
        <v>0.84</v>
      </c>
      <c r="O196" s="3">
        <v>77</v>
      </c>
      <c r="P196" s="3"/>
      <c r="Q196" s="3">
        <v>73</v>
      </c>
      <c r="R196" s="3">
        <v>77</v>
      </c>
      <c r="S196" s="5">
        <v>4.4000000000000004</v>
      </c>
      <c r="T196" s="5">
        <v>4.4000000000000004</v>
      </c>
      <c r="U196" s="4">
        <v>0.89</v>
      </c>
      <c r="V196" s="4">
        <v>0.84</v>
      </c>
      <c r="W196" s="4">
        <v>1</v>
      </c>
      <c r="X196" s="4">
        <v>0</v>
      </c>
      <c r="Y196" s="4">
        <v>0.95</v>
      </c>
      <c r="Z196" s="4">
        <v>0.16</v>
      </c>
      <c r="AA196" s="3">
        <v>77</v>
      </c>
      <c r="AB196" s="3">
        <v>73</v>
      </c>
      <c r="AC196" s="5">
        <v>4.4000000000000004</v>
      </c>
      <c r="AD196" s="4">
        <v>1</v>
      </c>
      <c r="AE196" s="4">
        <v>0.88</v>
      </c>
      <c r="AF196" s="4">
        <v>0.95</v>
      </c>
      <c r="AG196" s="4">
        <v>0.12</v>
      </c>
      <c r="AH196" s="4">
        <v>0.87</v>
      </c>
      <c r="AI196" s="4">
        <v>0.57999999999999996</v>
      </c>
      <c r="AJ196" t="s">
        <v>72</v>
      </c>
      <c r="AK196" t="s">
        <v>62</v>
      </c>
      <c r="AL196" t="s">
        <v>62</v>
      </c>
      <c r="AM196" t="s">
        <v>63</v>
      </c>
      <c r="AN196" t="s">
        <v>64</v>
      </c>
      <c r="AO196" t="s">
        <v>79</v>
      </c>
      <c r="AP196" t="s">
        <v>75</v>
      </c>
    </row>
    <row r="197" spans="1:42" x14ac:dyDescent="0.25">
      <c r="A197" t="str">
        <f>HYPERLINK("HTTP://10.0.1.74/krs/395/detail","/krs/395")</f>
        <v>/krs/395</v>
      </c>
      <c r="B197">
        <v>395</v>
      </c>
      <c r="C197" t="s">
        <v>91</v>
      </c>
      <c r="D197" t="s">
        <v>81</v>
      </c>
      <c r="E197" t="s">
        <v>68</v>
      </c>
      <c r="F197" t="s">
        <v>126</v>
      </c>
      <c r="G197" s="1">
        <v>43129.373518518521</v>
      </c>
      <c r="H197" t="s">
        <v>70</v>
      </c>
      <c r="I197" t="s">
        <v>51</v>
      </c>
      <c r="J197" t="s">
        <v>281</v>
      </c>
      <c r="K197" s="3">
        <v>323</v>
      </c>
      <c r="L197" s="3">
        <v>289</v>
      </c>
      <c r="M197" s="3">
        <v>612</v>
      </c>
      <c r="N197" s="4">
        <v>0.53</v>
      </c>
      <c r="O197" s="3">
        <v>68</v>
      </c>
      <c r="P197" s="3"/>
      <c r="Q197" s="3">
        <v>27</v>
      </c>
      <c r="R197" s="3">
        <v>68</v>
      </c>
      <c r="S197" s="5">
        <v>3.2</v>
      </c>
      <c r="T197" s="5">
        <v>3.3</v>
      </c>
      <c r="U197" s="4">
        <v>0.65</v>
      </c>
      <c r="V197" s="4">
        <v>0.53</v>
      </c>
      <c r="W197" s="4">
        <v>0.72</v>
      </c>
      <c r="X197" s="4">
        <v>0.74</v>
      </c>
      <c r="Y197" s="4">
        <v>0.4</v>
      </c>
      <c r="Z197" s="4">
        <v>0.47</v>
      </c>
      <c r="AA197" s="3">
        <v>68</v>
      </c>
      <c r="AB197" s="3">
        <v>28</v>
      </c>
      <c r="AC197" s="5">
        <v>3.6</v>
      </c>
      <c r="AD197" s="4">
        <v>0.85</v>
      </c>
      <c r="AE197" s="4">
        <v>0.72</v>
      </c>
      <c r="AF197" s="4">
        <v>0.41</v>
      </c>
      <c r="AG197" s="4">
        <v>0.28000000000000003</v>
      </c>
      <c r="AH197" s="4">
        <v>0.55000000000000004</v>
      </c>
      <c r="AI197" s="4">
        <v>0.43</v>
      </c>
      <c r="AJ197" t="s">
        <v>60</v>
      </c>
      <c r="AK197" t="s">
        <v>86</v>
      </c>
      <c r="AL197" t="s">
        <v>62</v>
      </c>
      <c r="AM197" t="s">
        <v>73</v>
      </c>
      <c r="AN197" t="s">
        <v>97</v>
      </c>
      <c r="AO197" t="s">
        <v>74</v>
      </c>
      <c r="AP197" t="s">
        <v>75</v>
      </c>
    </row>
    <row r="198" spans="1:42" x14ac:dyDescent="0.25">
      <c r="A198" t="str">
        <f>HYPERLINK("HTTP://10.0.1.74/krs/396/detail","/krs/396")</f>
        <v>/krs/396</v>
      </c>
      <c r="B198">
        <v>396</v>
      </c>
      <c r="C198" t="s">
        <v>91</v>
      </c>
      <c r="D198" t="s">
        <v>81</v>
      </c>
      <c r="E198" t="s">
        <v>68</v>
      </c>
      <c r="F198" t="s">
        <v>69</v>
      </c>
      <c r="G198" s="1">
        <v>43129.402637476851</v>
      </c>
      <c r="H198" t="s">
        <v>70</v>
      </c>
      <c r="I198" t="s">
        <v>51</v>
      </c>
      <c r="J198" t="s">
        <v>282</v>
      </c>
      <c r="K198" s="3">
        <v>49</v>
      </c>
      <c r="L198" s="3">
        <v>215</v>
      </c>
      <c r="M198" s="3">
        <v>264</v>
      </c>
      <c r="N198" s="4">
        <v>0.19</v>
      </c>
      <c r="O198" s="3">
        <v>24</v>
      </c>
      <c r="P198" s="3"/>
      <c r="Q198" s="3">
        <v>5</v>
      </c>
      <c r="R198" s="3">
        <v>24</v>
      </c>
      <c r="S198" s="5">
        <v>2.5</v>
      </c>
      <c r="T198" s="5">
        <v>1.8</v>
      </c>
      <c r="U198" s="4">
        <v>0.36</v>
      </c>
      <c r="V198" s="4">
        <v>0.19</v>
      </c>
      <c r="W198" s="4">
        <v>0.21</v>
      </c>
      <c r="X198" s="4">
        <v>0.25</v>
      </c>
      <c r="Y198" s="4">
        <v>0.21</v>
      </c>
      <c r="Z198" s="4">
        <v>0.81</v>
      </c>
      <c r="AA198" s="3">
        <v>24</v>
      </c>
      <c r="AB198" s="3">
        <v>12</v>
      </c>
      <c r="AC198" s="5">
        <v>3.8</v>
      </c>
      <c r="AD198" s="4">
        <v>0.92</v>
      </c>
      <c r="AE198" s="4">
        <v>0.76</v>
      </c>
      <c r="AF198" s="4">
        <v>0.5</v>
      </c>
      <c r="AG198" s="4">
        <v>0.24</v>
      </c>
      <c r="AH198" s="4">
        <v>0.21</v>
      </c>
      <c r="AI198" s="4">
        <v>0.16</v>
      </c>
      <c r="AJ198" t="s">
        <v>60</v>
      </c>
      <c r="AK198" t="s">
        <v>86</v>
      </c>
      <c r="AL198" t="s">
        <v>86</v>
      </c>
      <c r="AM198" t="s">
        <v>73</v>
      </c>
      <c r="AN198" t="s">
        <v>64</v>
      </c>
      <c r="AO198" t="s">
        <v>74</v>
      </c>
      <c r="AP198" t="s">
        <v>75</v>
      </c>
    </row>
    <row r="199" spans="1:42" x14ac:dyDescent="0.25">
      <c r="A199" t="str">
        <f>HYPERLINK("HTTP://10.0.1.74/krs/398/detail","/krs/398")</f>
        <v>/krs/398</v>
      </c>
      <c r="B199">
        <v>398</v>
      </c>
      <c r="C199" t="s">
        <v>85</v>
      </c>
      <c r="D199" t="s">
        <v>228</v>
      </c>
      <c r="E199" t="s">
        <v>68</v>
      </c>
      <c r="F199" t="s">
        <v>172</v>
      </c>
      <c r="G199" s="1">
        <v>43118</v>
      </c>
      <c r="H199" t="s">
        <v>283</v>
      </c>
      <c r="I199" t="s">
        <v>51</v>
      </c>
      <c r="K199" s="3">
        <v>376</v>
      </c>
      <c r="L199" s="3">
        <v>56</v>
      </c>
      <c r="M199" s="3">
        <v>432</v>
      </c>
      <c r="N199" s="4">
        <v>0.87</v>
      </c>
      <c r="O199" s="3">
        <v>27</v>
      </c>
      <c r="P199" s="3"/>
      <c r="Q199" s="3">
        <v>27</v>
      </c>
      <c r="R199" s="3">
        <v>27</v>
      </c>
      <c r="S199" s="5">
        <v>4.5</v>
      </c>
      <c r="T199" s="5">
        <v>4.5999999999999996</v>
      </c>
      <c r="U199" s="4">
        <v>0.93</v>
      </c>
      <c r="V199" s="4">
        <v>0.87</v>
      </c>
      <c r="W199" s="4">
        <v>1</v>
      </c>
      <c r="X199" s="4">
        <v>0</v>
      </c>
      <c r="Y199" s="4">
        <v>1</v>
      </c>
      <c r="Z199" s="4">
        <v>0.13</v>
      </c>
      <c r="AA199" s="3">
        <v>27</v>
      </c>
      <c r="AB199" s="3">
        <v>24</v>
      </c>
      <c r="AC199" s="5">
        <v>4.4000000000000004</v>
      </c>
      <c r="AD199" s="4">
        <v>1</v>
      </c>
      <c r="AE199" s="4">
        <v>0.87</v>
      </c>
      <c r="AF199" s="4">
        <v>0.89</v>
      </c>
      <c r="AG199" s="4">
        <v>0.13</v>
      </c>
      <c r="AH199" s="4">
        <v>0.88</v>
      </c>
      <c r="AI199" s="4">
        <v>0</v>
      </c>
      <c r="AJ199" t="s">
        <v>72</v>
      </c>
      <c r="AK199" t="s">
        <v>62</v>
      </c>
      <c r="AL199" t="s">
        <v>62</v>
      </c>
      <c r="AM199" t="s">
        <v>63</v>
      </c>
      <c r="AN199" t="s">
        <v>64</v>
      </c>
      <c r="AO199" t="s">
        <v>79</v>
      </c>
      <c r="AP199" t="s">
        <v>75</v>
      </c>
    </row>
    <row r="200" spans="1:42" x14ac:dyDescent="0.25">
      <c r="A200" t="str">
        <f>HYPERLINK("HTTP://10.0.1.74/krs/400/detail","/krs/400")</f>
        <v>/krs/400</v>
      </c>
      <c r="B200">
        <v>400</v>
      </c>
      <c r="C200" t="s">
        <v>46</v>
      </c>
      <c r="D200" t="s">
        <v>228</v>
      </c>
      <c r="E200" t="s">
        <v>111</v>
      </c>
      <c r="F200" t="s">
        <v>284</v>
      </c>
      <c r="G200" s="1">
        <v>43130.621261574073</v>
      </c>
      <c r="H200" t="s">
        <v>272</v>
      </c>
      <c r="I200" t="s">
        <v>57</v>
      </c>
      <c r="J200" t="s">
        <v>285</v>
      </c>
      <c r="K200" s="3">
        <v>806</v>
      </c>
      <c r="L200" s="3">
        <v>799</v>
      </c>
      <c r="M200" s="3">
        <v>1605</v>
      </c>
      <c r="N200" s="4">
        <v>0.5</v>
      </c>
      <c r="O200" s="3">
        <v>107</v>
      </c>
      <c r="P200" s="3"/>
      <c r="Q200" s="3">
        <v>52</v>
      </c>
      <c r="R200" s="3">
        <v>107</v>
      </c>
      <c r="S200" s="5">
        <v>2.7</v>
      </c>
      <c r="T200" s="5">
        <v>3.5</v>
      </c>
      <c r="U200" s="4">
        <v>0.7</v>
      </c>
      <c r="V200" s="4">
        <v>0.5</v>
      </c>
      <c r="W200" s="4">
        <v>0.89</v>
      </c>
      <c r="X200" s="4">
        <v>0.68</v>
      </c>
      <c r="Y200" s="4">
        <v>0.49</v>
      </c>
      <c r="Z200" s="4">
        <v>0.5</v>
      </c>
      <c r="AA200" s="3">
        <v>107</v>
      </c>
      <c r="AB200" s="3">
        <v>51</v>
      </c>
      <c r="AC200" s="5">
        <v>3.7</v>
      </c>
      <c r="AD200" s="4">
        <v>0.92</v>
      </c>
      <c r="AE200" s="4">
        <v>0.74</v>
      </c>
      <c r="AF200" s="4">
        <v>0.48</v>
      </c>
      <c r="AG200" s="4">
        <v>0.26</v>
      </c>
      <c r="AH200" s="4">
        <v>0.55000000000000004</v>
      </c>
      <c r="AI200" s="4">
        <v>0.46</v>
      </c>
      <c r="AJ200" t="s">
        <v>60</v>
      </c>
      <c r="AK200" t="s">
        <v>86</v>
      </c>
      <c r="AL200" t="s">
        <v>62</v>
      </c>
      <c r="AM200" t="s">
        <v>73</v>
      </c>
      <c r="AN200" t="s">
        <v>97</v>
      </c>
      <c r="AO200" t="s">
        <v>74</v>
      </c>
      <c r="AP200" t="s">
        <v>75</v>
      </c>
    </row>
    <row r="201" spans="1:42" x14ac:dyDescent="0.25">
      <c r="A201" t="str">
        <f>HYPERLINK("HTTP://10.0.1.74/krs/401/detail","/krs/401")</f>
        <v>/krs/401</v>
      </c>
      <c r="B201">
        <v>401</v>
      </c>
      <c r="C201" t="s">
        <v>80</v>
      </c>
      <c r="D201" t="s">
        <v>228</v>
      </c>
      <c r="E201" t="s">
        <v>87</v>
      </c>
      <c r="F201" t="s">
        <v>286</v>
      </c>
      <c r="G201" s="1">
        <v>43131.612604166665</v>
      </c>
      <c r="H201" t="s">
        <v>88</v>
      </c>
      <c r="I201" t="s">
        <v>51</v>
      </c>
      <c r="K201" s="3">
        <v>1502</v>
      </c>
      <c r="L201" s="3">
        <v>280</v>
      </c>
      <c r="M201" s="3">
        <v>1782</v>
      </c>
      <c r="N201" s="4">
        <v>0.84</v>
      </c>
      <c r="O201" s="3">
        <v>81</v>
      </c>
      <c r="P201" s="3"/>
      <c r="Q201" s="3">
        <v>76</v>
      </c>
      <c r="R201" s="3">
        <v>81</v>
      </c>
      <c r="S201" s="5">
        <v>4.4000000000000004</v>
      </c>
      <c r="T201" s="5">
        <v>4.2</v>
      </c>
      <c r="U201" s="4">
        <v>0.84</v>
      </c>
      <c r="V201" s="4">
        <v>0.84</v>
      </c>
      <c r="W201" s="4">
        <v>1</v>
      </c>
      <c r="X201" s="4">
        <v>0.98</v>
      </c>
      <c r="Y201" s="4">
        <v>0.94</v>
      </c>
      <c r="Z201" s="4">
        <v>0.16</v>
      </c>
      <c r="AA201" s="3">
        <v>81</v>
      </c>
      <c r="AB201" s="3">
        <v>76</v>
      </c>
      <c r="AC201" s="5">
        <v>4.3</v>
      </c>
      <c r="AD201" s="4">
        <v>1</v>
      </c>
      <c r="AE201" s="4">
        <v>0.86</v>
      </c>
      <c r="AF201" s="4">
        <v>0.94</v>
      </c>
      <c r="AG201" s="4">
        <v>0.14000000000000001</v>
      </c>
      <c r="AH201" s="4">
        <v>0.8</v>
      </c>
      <c r="AI201" s="4">
        <v>0</v>
      </c>
      <c r="AJ201" t="s">
        <v>72</v>
      </c>
      <c r="AK201" t="s">
        <v>62</v>
      </c>
      <c r="AL201" t="s">
        <v>62</v>
      </c>
      <c r="AM201" t="s">
        <v>63</v>
      </c>
      <c r="AN201" t="s">
        <v>97</v>
      </c>
      <c r="AO201" t="s">
        <v>79</v>
      </c>
      <c r="AP201" t="s">
        <v>66</v>
      </c>
    </row>
    <row r="202" spans="1:42" x14ac:dyDescent="0.25">
      <c r="A202" t="str">
        <f>HYPERLINK("HTTP://10.0.1.74/krs/402/detail","/krs/402")</f>
        <v>/krs/402</v>
      </c>
      <c r="B202">
        <v>402</v>
      </c>
      <c r="C202" t="s">
        <v>53</v>
      </c>
      <c r="D202" t="s">
        <v>228</v>
      </c>
      <c r="E202" t="s">
        <v>87</v>
      </c>
      <c r="F202" t="s">
        <v>191</v>
      </c>
      <c r="G202" s="1">
        <v>43132.634062500001</v>
      </c>
      <c r="H202" t="s">
        <v>144</v>
      </c>
      <c r="I202" t="s">
        <v>51</v>
      </c>
      <c r="J202" t="s">
        <v>287</v>
      </c>
      <c r="K202" s="3">
        <v>439</v>
      </c>
      <c r="L202" s="3">
        <v>111</v>
      </c>
      <c r="M202" s="3">
        <v>550</v>
      </c>
      <c r="N202" s="4">
        <v>0.8</v>
      </c>
      <c r="O202" s="3">
        <v>25</v>
      </c>
      <c r="P202" s="3"/>
      <c r="Q202" s="3">
        <v>25</v>
      </c>
      <c r="R202" s="3">
        <v>25</v>
      </c>
      <c r="S202" s="5">
        <v>4.2</v>
      </c>
      <c r="T202" s="5">
        <v>4</v>
      </c>
      <c r="U202" s="4">
        <v>0.81</v>
      </c>
      <c r="V202" s="4">
        <v>0.8</v>
      </c>
      <c r="W202" s="4">
        <v>1</v>
      </c>
      <c r="X202" s="4">
        <v>1.03</v>
      </c>
      <c r="Y202" s="4">
        <v>1</v>
      </c>
      <c r="Z202" s="4">
        <v>0.2</v>
      </c>
      <c r="AA202" s="3">
        <v>25</v>
      </c>
      <c r="AB202" s="3">
        <v>15</v>
      </c>
      <c r="AC202" s="5">
        <v>3.9</v>
      </c>
      <c r="AD202" s="4">
        <v>1</v>
      </c>
      <c r="AE202" s="4">
        <v>0.78</v>
      </c>
      <c r="AF202" s="4">
        <v>0.6</v>
      </c>
      <c r="AG202" s="4">
        <v>0.22</v>
      </c>
      <c r="AH202" s="4">
        <v>0.76</v>
      </c>
      <c r="AI202" s="4">
        <v>0.73</v>
      </c>
      <c r="AJ202" t="s">
        <v>72</v>
      </c>
      <c r="AK202" t="s">
        <v>62</v>
      </c>
      <c r="AL202" t="s">
        <v>62</v>
      </c>
      <c r="AM202" t="s">
        <v>63</v>
      </c>
      <c r="AN202" t="s">
        <v>64</v>
      </c>
      <c r="AO202" t="s">
        <v>79</v>
      </c>
      <c r="AP202" t="s">
        <v>66</v>
      </c>
    </row>
    <row r="203" spans="1:42" x14ac:dyDescent="0.25">
      <c r="A203" t="str">
        <f>HYPERLINK("HTTP://10.0.1.74/krs/407/detail","/krs/407")</f>
        <v>/krs/407</v>
      </c>
      <c r="B203">
        <v>407</v>
      </c>
      <c r="C203" t="s">
        <v>288</v>
      </c>
      <c r="D203" t="s">
        <v>81</v>
      </c>
      <c r="E203" t="s">
        <v>111</v>
      </c>
      <c r="F203" t="s">
        <v>112</v>
      </c>
      <c r="G203" s="1">
        <v>43146.570671296293</v>
      </c>
      <c r="H203" t="s">
        <v>113</v>
      </c>
      <c r="I203" t="s">
        <v>57</v>
      </c>
      <c r="J203" t="s">
        <v>289</v>
      </c>
      <c r="K203" s="3">
        <v>286</v>
      </c>
      <c r="L203" s="3">
        <v>44</v>
      </c>
      <c r="M203" s="3">
        <v>330</v>
      </c>
      <c r="N203" s="4">
        <v>0.87</v>
      </c>
      <c r="O203" s="3">
        <v>15</v>
      </c>
      <c r="P203" s="3"/>
      <c r="Q203" s="3">
        <v>15</v>
      </c>
      <c r="R203" s="3">
        <v>15</v>
      </c>
      <c r="S203" s="5">
        <v>4.3</v>
      </c>
      <c r="T203" s="5">
        <v>4.3</v>
      </c>
      <c r="U203" s="4">
        <v>0.87</v>
      </c>
      <c r="V203" s="4">
        <v>0.87</v>
      </c>
      <c r="W203" s="4">
        <v>1</v>
      </c>
      <c r="X203" s="4">
        <v>0.99</v>
      </c>
      <c r="Y203" s="4">
        <v>1</v>
      </c>
      <c r="Z203" s="4">
        <v>0.13</v>
      </c>
      <c r="AA203" s="3">
        <v>15</v>
      </c>
      <c r="AB203" s="3">
        <v>15</v>
      </c>
      <c r="AC203" s="5">
        <v>4.4000000000000004</v>
      </c>
      <c r="AD203" s="4">
        <v>1</v>
      </c>
      <c r="AE203" s="4">
        <v>0.88</v>
      </c>
      <c r="AF203" s="4">
        <v>1</v>
      </c>
      <c r="AG203" s="4">
        <v>0.12</v>
      </c>
      <c r="AH203" s="4">
        <v>0.87</v>
      </c>
      <c r="AI203" s="4">
        <v>0</v>
      </c>
      <c r="AJ203" t="s">
        <v>72</v>
      </c>
      <c r="AK203" t="s">
        <v>62</v>
      </c>
      <c r="AL203" t="s">
        <v>62</v>
      </c>
      <c r="AM203" t="s">
        <v>63</v>
      </c>
      <c r="AN203" t="s">
        <v>97</v>
      </c>
      <c r="AO203" t="s">
        <v>79</v>
      </c>
      <c r="AP203" t="s">
        <v>66</v>
      </c>
    </row>
    <row r="204" spans="1:42" x14ac:dyDescent="0.25">
      <c r="A204" t="str">
        <f>HYPERLINK("HTTP://10.0.1.74/krs/408/detail","/krs/408")</f>
        <v>/krs/408</v>
      </c>
      <c r="B204">
        <v>408</v>
      </c>
      <c r="C204" t="s">
        <v>53</v>
      </c>
      <c r="D204" t="s">
        <v>81</v>
      </c>
      <c r="E204" t="s">
        <v>141</v>
      </c>
      <c r="F204" t="s">
        <v>164</v>
      </c>
      <c r="G204" s="1">
        <v>43146.614849537036</v>
      </c>
      <c r="H204" t="s">
        <v>113</v>
      </c>
      <c r="I204" t="s">
        <v>57</v>
      </c>
      <c r="J204" t="s">
        <v>290</v>
      </c>
      <c r="K204" s="3">
        <v>301</v>
      </c>
      <c r="L204" s="3">
        <v>47</v>
      </c>
      <c r="M204" s="3">
        <v>348</v>
      </c>
      <c r="N204" s="4">
        <v>0.86</v>
      </c>
      <c r="O204" s="3">
        <v>29</v>
      </c>
      <c r="P204" s="3"/>
      <c r="Q204" s="3">
        <v>29</v>
      </c>
      <c r="R204" s="3">
        <v>29</v>
      </c>
      <c r="S204" s="5">
        <v>4.0999999999999996</v>
      </c>
      <c r="T204" s="5">
        <v>4.5</v>
      </c>
      <c r="U204" s="4">
        <v>0.9</v>
      </c>
      <c r="V204" s="4">
        <v>0.86</v>
      </c>
      <c r="W204" s="4">
        <v>1</v>
      </c>
      <c r="X204" s="4">
        <v>1.02</v>
      </c>
      <c r="Y204" s="4">
        <v>1</v>
      </c>
      <c r="Z204" s="4">
        <v>0.14000000000000001</v>
      </c>
      <c r="AA204" s="3">
        <v>29</v>
      </c>
      <c r="AB204" s="3">
        <v>24</v>
      </c>
      <c r="AC204" s="5">
        <v>4.2</v>
      </c>
      <c r="AD204" s="4">
        <v>1</v>
      </c>
      <c r="AE204" s="4">
        <v>0.84</v>
      </c>
      <c r="AF204" s="4">
        <v>0.83</v>
      </c>
      <c r="AG204" s="4">
        <v>0.16</v>
      </c>
      <c r="AH204" s="4">
        <v>0.87</v>
      </c>
      <c r="AI204" s="4">
        <v>0</v>
      </c>
      <c r="AJ204" t="s">
        <v>72</v>
      </c>
      <c r="AK204" t="s">
        <v>62</v>
      </c>
      <c r="AL204" t="s">
        <v>62</v>
      </c>
      <c r="AM204" t="s">
        <v>63</v>
      </c>
      <c r="AN204" t="s">
        <v>64</v>
      </c>
      <c r="AO204" t="s">
        <v>79</v>
      </c>
      <c r="AP204" t="s">
        <v>66</v>
      </c>
    </row>
    <row r="205" spans="1:42" x14ac:dyDescent="0.25">
      <c r="A205" t="str">
        <f>HYPERLINK("HTTP://10.0.1.74/krs/410/detail","/krs/410")</f>
        <v>/krs/410</v>
      </c>
      <c r="B205">
        <v>410</v>
      </c>
      <c r="C205" t="s">
        <v>291</v>
      </c>
      <c r="D205" t="s">
        <v>228</v>
      </c>
      <c r="E205" t="s">
        <v>292</v>
      </c>
      <c r="F205" t="s">
        <v>293</v>
      </c>
      <c r="G205" s="1">
        <v>43133</v>
      </c>
      <c r="H205" t="s">
        <v>294</v>
      </c>
      <c r="I205" t="s">
        <v>51</v>
      </c>
      <c r="J205" t="s">
        <v>295</v>
      </c>
      <c r="K205" s="3">
        <v>2368</v>
      </c>
      <c r="L205" s="3">
        <v>1547</v>
      </c>
      <c r="M205" s="3">
        <v>3915</v>
      </c>
      <c r="N205" s="4">
        <v>0.6</v>
      </c>
      <c r="O205" s="3">
        <v>145</v>
      </c>
      <c r="P205" s="3"/>
      <c r="Q205" s="3">
        <v>97</v>
      </c>
      <c r="R205" s="3">
        <v>145</v>
      </c>
      <c r="S205" s="5">
        <v>3.3</v>
      </c>
      <c r="T205" s="5">
        <v>3.4</v>
      </c>
      <c r="U205" s="4">
        <v>0.69</v>
      </c>
      <c r="V205" s="4">
        <v>0.6</v>
      </c>
      <c r="W205" s="4">
        <v>0.81</v>
      </c>
      <c r="X205" s="4">
        <v>0.7</v>
      </c>
      <c r="Y205" s="4">
        <v>0.67</v>
      </c>
      <c r="Z205" s="4">
        <v>0.4</v>
      </c>
      <c r="AA205" s="3">
        <v>118</v>
      </c>
      <c r="AB205" s="3">
        <v>102</v>
      </c>
      <c r="AC205" s="5">
        <v>4.3</v>
      </c>
      <c r="AD205" s="4">
        <v>0.99</v>
      </c>
      <c r="AE205" s="4">
        <v>0.86</v>
      </c>
      <c r="AF205" s="4">
        <v>0.86</v>
      </c>
      <c r="AG205" s="4">
        <v>0.14000000000000001</v>
      </c>
      <c r="AH205" s="4">
        <v>0.61</v>
      </c>
      <c r="AI205" s="4">
        <v>0</v>
      </c>
      <c r="AJ205" t="s">
        <v>72</v>
      </c>
      <c r="AK205" t="s">
        <v>61</v>
      </c>
      <c r="AL205" t="s">
        <v>62</v>
      </c>
      <c r="AM205" t="s">
        <v>73</v>
      </c>
      <c r="AN205" t="s">
        <v>64</v>
      </c>
      <c r="AO205" t="s">
        <v>74</v>
      </c>
      <c r="AP205" t="s">
        <v>75</v>
      </c>
    </row>
    <row r="206" spans="1:42" x14ac:dyDescent="0.25">
      <c r="A206" t="str">
        <f>HYPERLINK("HTTP://10.0.1.74/krs/417/detail","/krs/417")</f>
        <v>/krs/417</v>
      </c>
      <c r="B206">
        <v>417</v>
      </c>
      <c r="C206" t="s">
        <v>83</v>
      </c>
      <c r="D206" t="s">
        <v>228</v>
      </c>
      <c r="E206" t="s">
        <v>54</v>
      </c>
      <c r="F206" t="s">
        <v>149</v>
      </c>
      <c r="G206" s="1">
        <v>43161</v>
      </c>
      <c r="H206" t="s">
        <v>152</v>
      </c>
      <c r="I206" t="s">
        <v>51</v>
      </c>
      <c r="J206" t="s">
        <v>296</v>
      </c>
      <c r="K206" s="3">
        <v>376</v>
      </c>
      <c r="L206" s="3">
        <v>191</v>
      </c>
      <c r="M206" s="3">
        <v>567</v>
      </c>
      <c r="N206" s="4">
        <v>0.66</v>
      </c>
      <c r="O206" s="3">
        <v>27</v>
      </c>
      <c r="P206" s="3"/>
      <c r="Q206" s="3">
        <v>18</v>
      </c>
      <c r="R206" s="3">
        <v>27</v>
      </c>
      <c r="S206" s="5">
        <v>3.6</v>
      </c>
      <c r="T206" s="5">
        <v>3.7</v>
      </c>
      <c r="U206" s="4">
        <v>0.73</v>
      </c>
      <c r="V206" s="4">
        <v>0.66</v>
      </c>
      <c r="W206" s="4">
        <v>0.93</v>
      </c>
      <c r="X206" s="4">
        <v>0.89</v>
      </c>
      <c r="Y206" s="4">
        <v>0.67</v>
      </c>
      <c r="Z206" s="4">
        <v>0.34</v>
      </c>
      <c r="AA206" s="3">
        <v>26</v>
      </c>
      <c r="AB206" s="3">
        <v>16</v>
      </c>
      <c r="AC206" s="5">
        <v>3.7</v>
      </c>
      <c r="AD206" s="4">
        <v>0.96</v>
      </c>
      <c r="AE206" s="4">
        <v>0.74</v>
      </c>
      <c r="AF206" s="4">
        <v>0.62</v>
      </c>
      <c r="AG206" s="4">
        <v>0.26</v>
      </c>
      <c r="AH206" s="4">
        <v>0.7</v>
      </c>
      <c r="AI206" s="4">
        <v>0.64</v>
      </c>
      <c r="AJ206" t="s">
        <v>72</v>
      </c>
      <c r="AK206" t="s">
        <v>61</v>
      </c>
      <c r="AL206" t="s">
        <v>62</v>
      </c>
      <c r="AM206" t="s">
        <v>104</v>
      </c>
      <c r="AN206" t="s">
        <v>97</v>
      </c>
      <c r="AO206" t="s">
        <v>65</v>
      </c>
      <c r="AP206" t="s">
        <v>75</v>
      </c>
    </row>
    <row r="207" spans="1:42" x14ac:dyDescent="0.25">
      <c r="A207" t="str">
        <f>HYPERLINK("HTTP://10.0.1.74/krs/418/detail","/krs/418")</f>
        <v>/krs/418</v>
      </c>
      <c r="B207">
        <v>418</v>
      </c>
      <c r="C207" t="s">
        <v>257</v>
      </c>
      <c r="D207" t="s">
        <v>228</v>
      </c>
      <c r="E207" t="s">
        <v>87</v>
      </c>
      <c r="F207" t="s">
        <v>297</v>
      </c>
      <c r="G207" s="1">
        <v>43166.412731481483</v>
      </c>
      <c r="H207" t="s">
        <v>88</v>
      </c>
      <c r="I207" t="s">
        <v>57</v>
      </c>
      <c r="K207" s="3">
        <v>384</v>
      </c>
      <c r="L207" s="3">
        <v>162</v>
      </c>
      <c r="M207" s="3">
        <v>546</v>
      </c>
      <c r="N207" s="4">
        <v>0.7</v>
      </c>
      <c r="O207" s="3">
        <v>26</v>
      </c>
      <c r="P207" s="3"/>
      <c r="Q207" s="3">
        <v>19</v>
      </c>
      <c r="R207" s="3">
        <v>26</v>
      </c>
      <c r="S207" s="5">
        <v>3.3</v>
      </c>
      <c r="T207" s="5">
        <v>3.9</v>
      </c>
      <c r="U207" s="4">
        <v>0.78</v>
      </c>
      <c r="V207" s="4">
        <v>0.7</v>
      </c>
      <c r="W207" s="4">
        <v>1</v>
      </c>
      <c r="X207" s="4">
        <v>0.95</v>
      </c>
      <c r="Y207" s="4">
        <v>0.73</v>
      </c>
      <c r="Z207" s="4">
        <v>0.3</v>
      </c>
      <c r="AA207" s="3">
        <v>26</v>
      </c>
      <c r="AB207" s="3">
        <v>14</v>
      </c>
      <c r="AC207" s="5">
        <v>3.7</v>
      </c>
      <c r="AD207" s="4">
        <v>1</v>
      </c>
      <c r="AE207" s="4">
        <v>0.74</v>
      </c>
      <c r="AF207" s="4">
        <v>0.54</v>
      </c>
      <c r="AG207" s="4">
        <v>0.26</v>
      </c>
      <c r="AH207" s="4">
        <v>0.76</v>
      </c>
      <c r="AI207" s="4">
        <v>0.65</v>
      </c>
      <c r="AJ207" t="s">
        <v>72</v>
      </c>
      <c r="AK207" t="s">
        <v>62</v>
      </c>
      <c r="AL207" t="s">
        <v>62</v>
      </c>
      <c r="AM207" t="s">
        <v>63</v>
      </c>
      <c r="AN207" t="s">
        <v>64</v>
      </c>
      <c r="AO207" t="s">
        <v>79</v>
      </c>
      <c r="AP207" t="s">
        <v>66</v>
      </c>
    </row>
    <row r="208" spans="1:42" x14ac:dyDescent="0.25">
      <c r="A208" t="str">
        <f>HYPERLINK("HTTP://10.0.1.74/krs/419/detail","/krs/419")</f>
        <v>/krs/419</v>
      </c>
      <c r="B208">
        <v>419</v>
      </c>
      <c r="C208" t="s">
        <v>85</v>
      </c>
      <c r="D208" t="s">
        <v>228</v>
      </c>
      <c r="E208" t="s">
        <v>68</v>
      </c>
      <c r="F208" t="s">
        <v>69</v>
      </c>
      <c r="G208" s="1">
        <v>43165</v>
      </c>
      <c r="H208" t="s">
        <v>70</v>
      </c>
      <c r="I208" t="s">
        <v>51</v>
      </c>
      <c r="J208" t="s">
        <v>298</v>
      </c>
      <c r="K208" s="3">
        <v>308</v>
      </c>
      <c r="L208" s="3">
        <v>70</v>
      </c>
      <c r="M208" s="3">
        <v>378</v>
      </c>
      <c r="N208" s="4">
        <v>0.81</v>
      </c>
      <c r="O208" s="3">
        <v>21</v>
      </c>
      <c r="P208" s="3"/>
      <c r="Q208" s="3">
        <v>19</v>
      </c>
      <c r="R208" s="3">
        <v>21</v>
      </c>
      <c r="S208" s="5">
        <v>3.7</v>
      </c>
      <c r="T208" s="5">
        <v>4.2</v>
      </c>
      <c r="U208" s="4">
        <v>0.84</v>
      </c>
      <c r="V208" s="4">
        <v>0.81</v>
      </c>
      <c r="W208" s="4">
        <v>1</v>
      </c>
      <c r="X208" s="4">
        <v>0.99</v>
      </c>
      <c r="Y208" s="4">
        <v>0.9</v>
      </c>
      <c r="Z208" s="4">
        <v>0.19</v>
      </c>
      <c r="AA208" s="3">
        <v>21</v>
      </c>
      <c r="AB208" s="3">
        <v>15</v>
      </c>
      <c r="AC208" s="5">
        <v>4.0999999999999996</v>
      </c>
      <c r="AD208" s="4">
        <v>1</v>
      </c>
      <c r="AE208" s="4">
        <v>0.82</v>
      </c>
      <c r="AF208" s="4">
        <v>0.71</v>
      </c>
      <c r="AG208" s="4">
        <v>0.18</v>
      </c>
      <c r="AH208" s="4">
        <v>0</v>
      </c>
      <c r="AI208" s="4">
        <v>0</v>
      </c>
      <c r="AJ208" t="s">
        <v>72</v>
      </c>
      <c r="AK208" t="s">
        <v>62</v>
      </c>
      <c r="AL208" t="s">
        <v>62</v>
      </c>
      <c r="AM208" t="s">
        <v>63</v>
      </c>
      <c r="AN208" t="s">
        <v>64</v>
      </c>
      <c r="AO208" t="s">
        <v>79</v>
      </c>
      <c r="AP208" t="s">
        <v>66</v>
      </c>
    </row>
    <row r="209" spans="1:42" x14ac:dyDescent="0.25">
      <c r="A209" t="str">
        <f>HYPERLINK("HTTP://10.0.1.74/krs/420/detail","/krs/420")</f>
        <v>/krs/420</v>
      </c>
      <c r="B209">
        <v>420</v>
      </c>
      <c r="C209" t="s">
        <v>84</v>
      </c>
      <c r="D209" t="s">
        <v>81</v>
      </c>
      <c r="E209" t="s">
        <v>141</v>
      </c>
      <c r="F209" t="s">
        <v>95</v>
      </c>
      <c r="G209" s="1">
        <v>43166</v>
      </c>
      <c r="H209" t="s">
        <v>272</v>
      </c>
      <c r="I209" t="s">
        <v>57</v>
      </c>
      <c r="K209" s="3">
        <v>1344</v>
      </c>
      <c r="L209" s="3">
        <v>816</v>
      </c>
      <c r="M209" s="3">
        <v>2160</v>
      </c>
      <c r="N209" s="4">
        <v>0.62</v>
      </c>
      <c r="O209" s="3">
        <v>107</v>
      </c>
      <c r="P209" s="3"/>
      <c r="Q209" s="3">
        <v>54</v>
      </c>
      <c r="R209" s="3">
        <v>107</v>
      </c>
      <c r="S209" s="5">
        <v>3.3</v>
      </c>
      <c r="T209" s="5">
        <v>3.5</v>
      </c>
      <c r="U209" s="4">
        <v>0.7</v>
      </c>
      <c r="V209" s="4">
        <v>0.62</v>
      </c>
      <c r="W209" s="4">
        <v>0.92</v>
      </c>
      <c r="X209" s="4">
        <v>0.85</v>
      </c>
      <c r="Y209" s="4">
        <v>0.5</v>
      </c>
      <c r="Z209" s="4">
        <v>0.38</v>
      </c>
      <c r="AA209" s="3">
        <v>105</v>
      </c>
      <c r="AB209" s="3">
        <v>38</v>
      </c>
      <c r="AC209" s="5">
        <v>3.6</v>
      </c>
      <c r="AD209" s="4">
        <v>0.85</v>
      </c>
      <c r="AE209" s="4">
        <v>0.73</v>
      </c>
      <c r="AF209" s="4">
        <v>0.36</v>
      </c>
      <c r="AG209" s="4">
        <v>0.27</v>
      </c>
      <c r="AH209" s="4">
        <v>0.81</v>
      </c>
      <c r="AI209" s="4">
        <v>0.5</v>
      </c>
      <c r="AJ209" t="s">
        <v>72</v>
      </c>
      <c r="AK209" t="s">
        <v>61</v>
      </c>
      <c r="AL209" t="s">
        <v>62</v>
      </c>
      <c r="AM209" t="s">
        <v>73</v>
      </c>
      <c r="AN209" t="s">
        <v>64</v>
      </c>
      <c r="AO209" t="s">
        <v>74</v>
      </c>
      <c r="AP209" t="s">
        <v>75</v>
      </c>
    </row>
    <row r="210" spans="1:42" x14ac:dyDescent="0.25">
      <c r="A210" t="str">
        <f>HYPERLINK("HTTP://10.0.1.74/krs/421/detail","/krs/421")</f>
        <v>/krs/421</v>
      </c>
      <c r="B210">
        <v>421</v>
      </c>
      <c r="C210" t="s">
        <v>53</v>
      </c>
      <c r="D210" t="s">
        <v>228</v>
      </c>
      <c r="E210" t="s">
        <v>98</v>
      </c>
      <c r="F210" t="s">
        <v>90</v>
      </c>
      <c r="G210" s="1">
        <v>43172.928703703707</v>
      </c>
      <c r="H210" t="s">
        <v>299</v>
      </c>
      <c r="I210" t="s">
        <v>51</v>
      </c>
      <c r="J210" t="s">
        <v>300</v>
      </c>
      <c r="K210" s="3">
        <v>144</v>
      </c>
      <c r="L210" s="3">
        <v>126</v>
      </c>
      <c r="M210" s="3">
        <v>270</v>
      </c>
      <c r="N210" s="4">
        <v>0.53</v>
      </c>
      <c r="O210" s="3">
        <v>9</v>
      </c>
      <c r="P210" s="3"/>
      <c r="Q210" s="3">
        <v>1</v>
      </c>
      <c r="R210" s="3">
        <v>9</v>
      </c>
      <c r="S210" s="5">
        <v>3.1</v>
      </c>
      <c r="T210" s="5">
        <v>2.8</v>
      </c>
      <c r="U210" s="4">
        <v>0.56000000000000005</v>
      </c>
      <c r="V210" s="4">
        <v>0.53</v>
      </c>
      <c r="W210" s="4">
        <v>0.56000000000000005</v>
      </c>
      <c r="X210" s="4">
        <v>0</v>
      </c>
      <c r="Y210" s="4">
        <v>0.11</v>
      </c>
      <c r="Z210" s="4">
        <v>0.47</v>
      </c>
      <c r="AA210" s="3">
        <v>0</v>
      </c>
      <c r="AB210" s="3">
        <v>0</v>
      </c>
      <c r="AC210" s="5">
        <v>0</v>
      </c>
      <c r="AD210" s="4">
        <v>0</v>
      </c>
      <c r="AE210" s="4">
        <v>0</v>
      </c>
      <c r="AF210" s="4">
        <v>0</v>
      </c>
      <c r="AG210" s="4">
        <v>1</v>
      </c>
      <c r="AH210" s="4">
        <v>0.5</v>
      </c>
      <c r="AI210" s="4">
        <v>0.67</v>
      </c>
      <c r="AJ210" t="s">
        <v>72</v>
      </c>
      <c r="AK210" t="s">
        <v>86</v>
      </c>
      <c r="AL210" t="s">
        <v>61</v>
      </c>
      <c r="AM210" t="s">
        <v>63</v>
      </c>
      <c r="AN210" t="s">
        <v>64</v>
      </c>
      <c r="AO210" t="s">
        <v>79</v>
      </c>
      <c r="AP210" t="s">
        <v>75</v>
      </c>
    </row>
    <row r="211" spans="1:42" x14ac:dyDescent="0.25">
      <c r="A211" t="str">
        <f>HYPERLINK("HTTP://10.0.1.74/krs/424/detail","/krs/424")</f>
        <v>/krs/424</v>
      </c>
      <c r="B211">
        <v>424</v>
      </c>
      <c r="C211" t="s">
        <v>53</v>
      </c>
      <c r="D211" t="s">
        <v>228</v>
      </c>
      <c r="E211" t="s">
        <v>98</v>
      </c>
      <c r="F211" t="s">
        <v>90</v>
      </c>
      <c r="G211" s="1">
        <v>43169</v>
      </c>
      <c r="H211" t="s">
        <v>301</v>
      </c>
      <c r="I211" t="s">
        <v>51</v>
      </c>
      <c r="J211" t="s">
        <v>302</v>
      </c>
      <c r="K211" s="3">
        <v>343</v>
      </c>
      <c r="L211" s="3">
        <v>347</v>
      </c>
      <c r="M211" s="3">
        <v>690</v>
      </c>
      <c r="N211" s="4">
        <v>0.5</v>
      </c>
      <c r="O211" s="3">
        <v>23</v>
      </c>
      <c r="P211" s="3"/>
      <c r="Q211" s="3">
        <v>3</v>
      </c>
      <c r="R211" s="3">
        <v>23</v>
      </c>
      <c r="S211" s="5">
        <v>2.6</v>
      </c>
      <c r="T211" s="5">
        <v>2.6</v>
      </c>
      <c r="U211" s="4">
        <v>0.52</v>
      </c>
      <c r="V211" s="4">
        <v>0.5</v>
      </c>
      <c r="W211" s="4">
        <v>0.52</v>
      </c>
      <c r="X211" s="4">
        <v>0.67</v>
      </c>
      <c r="Y211" s="4">
        <v>0.13</v>
      </c>
      <c r="Z211" s="4">
        <v>0.5</v>
      </c>
      <c r="AA211" s="3">
        <v>23</v>
      </c>
      <c r="AB211" s="3">
        <v>13</v>
      </c>
      <c r="AC211" s="5">
        <v>3.7</v>
      </c>
      <c r="AD211" s="4">
        <v>1</v>
      </c>
      <c r="AE211" s="4">
        <v>0.75</v>
      </c>
      <c r="AF211" s="4">
        <v>0.56999999999999995</v>
      </c>
      <c r="AG211" s="4">
        <v>0.25</v>
      </c>
      <c r="AH211" s="4">
        <v>0.46</v>
      </c>
      <c r="AI211" s="4">
        <v>0.62</v>
      </c>
      <c r="AJ211" t="s">
        <v>72</v>
      </c>
      <c r="AK211" t="s">
        <v>86</v>
      </c>
      <c r="AL211" t="s">
        <v>61</v>
      </c>
      <c r="AM211" t="s">
        <v>73</v>
      </c>
      <c r="AN211" t="s">
        <v>64</v>
      </c>
      <c r="AO211" t="s">
        <v>74</v>
      </c>
      <c r="AP211" t="s">
        <v>75</v>
      </c>
    </row>
    <row r="212" spans="1:42" x14ac:dyDescent="0.25">
      <c r="A212" t="str">
        <f>HYPERLINK("HTTP://10.0.1.74/krs/428/detail","/krs/428")</f>
        <v>/krs/428</v>
      </c>
      <c r="B212">
        <v>428</v>
      </c>
      <c r="C212" t="s">
        <v>257</v>
      </c>
      <c r="D212" t="s">
        <v>81</v>
      </c>
      <c r="E212" t="s">
        <v>125</v>
      </c>
      <c r="F212" t="s">
        <v>95</v>
      </c>
      <c r="G212" s="1">
        <v>43168</v>
      </c>
      <c r="H212" t="s">
        <v>127</v>
      </c>
      <c r="I212" t="s">
        <v>51</v>
      </c>
      <c r="J212" t="s">
        <v>303</v>
      </c>
      <c r="K212" s="3">
        <v>1071</v>
      </c>
      <c r="L212" s="3">
        <v>609</v>
      </c>
      <c r="M212" s="3">
        <v>1680</v>
      </c>
      <c r="N212" s="4">
        <v>0.64</v>
      </c>
      <c r="O212" s="3">
        <v>105</v>
      </c>
      <c r="P212" s="3"/>
      <c r="Q212" s="3">
        <v>42</v>
      </c>
      <c r="R212" s="3">
        <v>105</v>
      </c>
      <c r="S212" s="5">
        <v>3.2</v>
      </c>
      <c r="T212" s="5">
        <v>3.3</v>
      </c>
      <c r="U212" s="4">
        <v>0.65</v>
      </c>
      <c r="V212" s="4">
        <v>0.64</v>
      </c>
      <c r="W212" s="4">
        <v>0.79</v>
      </c>
      <c r="X212" s="4">
        <v>0.78</v>
      </c>
      <c r="Y212" s="4">
        <v>0.4</v>
      </c>
      <c r="Z212" s="4">
        <v>0.36</v>
      </c>
      <c r="AA212" s="3">
        <v>19</v>
      </c>
      <c r="AB212" s="3">
        <v>13</v>
      </c>
      <c r="AC212" s="5">
        <v>4.0999999999999996</v>
      </c>
      <c r="AD212" s="4">
        <v>1</v>
      </c>
      <c r="AE212" s="4">
        <v>0.82</v>
      </c>
      <c r="AF212" s="4">
        <v>0.68</v>
      </c>
      <c r="AG212" s="4">
        <v>0.18</v>
      </c>
      <c r="AH212" s="4">
        <v>0.67</v>
      </c>
      <c r="AI212" s="4">
        <v>0.44</v>
      </c>
      <c r="AJ212" t="s">
        <v>72</v>
      </c>
      <c r="AK212" t="s">
        <v>61</v>
      </c>
      <c r="AL212" t="s">
        <v>62</v>
      </c>
      <c r="AM212" t="s">
        <v>73</v>
      </c>
      <c r="AN212" t="s">
        <v>64</v>
      </c>
      <c r="AO212" t="s">
        <v>74</v>
      </c>
      <c r="AP212" t="s">
        <v>75</v>
      </c>
    </row>
    <row r="213" spans="1:42" x14ac:dyDescent="0.25">
      <c r="A213" t="str">
        <f>HYPERLINK("HTTP://10.0.1.74/krs/432/detail","/krs/432")</f>
        <v>/krs/432</v>
      </c>
      <c r="B213">
        <v>432</v>
      </c>
      <c r="C213" t="s">
        <v>257</v>
      </c>
      <c r="D213" t="s">
        <v>81</v>
      </c>
      <c r="E213" t="s">
        <v>143</v>
      </c>
      <c r="F213" t="s">
        <v>90</v>
      </c>
      <c r="G213" s="1">
        <v>43171</v>
      </c>
      <c r="H213" t="s">
        <v>144</v>
      </c>
      <c r="I213" t="s">
        <v>51</v>
      </c>
      <c r="J213" t="s">
        <v>304</v>
      </c>
      <c r="K213" s="3">
        <v>331</v>
      </c>
      <c r="L213" s="3">
        <v>215</v>
      </c>
      <c r="M213" s="3">
        <v>546</v>
      </c>
      <c r="N213" s="4">
        <v>0.61</v>
      </c>
      <c r="O213" s="3">
        <v>26</v>
      </c>
      <c r="P213" s="3"/>
      <c r="Q213" s="3">
        <v>10</v>
      </c>
      <c r="R213" s="3">
        <v>26</v>
      </c>
      <c r="S213" s="5">
        <v>2.9</v>
      </c>
      <c r="T213" s="5">
        <v>3.3</v>
      </c>
      <c r="U213" s="4">
        <v>0.67</v>
      </c>
      <c r="V213" s="4">
        <v>0.61</v>
      </c>
      <c r="W213" s="4">
        <v>0.96</v>
      </c>
      <c r="X213" s="4">
        <v>0.76</v>
      </c>
      <c r="Y213" s="4">
        <v>0.38</v>
      </c>
      <c r="Z213" s="4">
        <v>0.39</v>
      </c>
      <c r="AA213" s="3">
        <v>25</v>
      </c>
      <c r="AB213" s="3">
        <v>15</v>
      </c>
      <c r="AC213" s="5">
        <v>4</v>
      </c>
      <c r="AD213" s="4">
        <v>1</v>
      </c>
      <c r="AE213" s="4">
        <v>0.8</v>
      </c>
      <c r="AF213" s="4">
        <v>0.6</v>
      </c>
      <c r="AG213" s="4">
        <v>0.2</v>
      </c>
      <c r="AH213" s="4">
        <v>0.75</v>
      </c>
      <c r="AI213" s="4">
        <v>0.48</v>
      </c>
      <c r="AJ213" t="s">
        <v>72</v>
      </c>
      <c r="AK213" t="s">
        <v>61</v>
      </c>
      <c r="AL213" t="s">
        <v>62</v>
      </c>
      <c r="AM213" t="s">
        <v>73</v>
      </c>
      <c r="AN213" t="s">
        <v>64</v>
      </c>
      <c r="AO213" t="s">
        <v>74</v>
      </c>
      <c r="AP213" t="s">
        <v>75</v>
      </c>
    </row>
    <row r="214" spans="1:42" x14ac:dyDescent="0.25">
      <c r="A214" t="str">
        <f>HYPERLINK("HTTP://10.0.1.74/krs/433/detail","/krs/433")</f>
        <v>/krs/433</v>
      </c>
      <c r="B214">
        <v>433</v>
      </c>
      <c r="C214" t="s">
        <v>257</v>
      </c>
      <c r="D214" t="s">
        <v>81</v>
      </c>
      <c r="E214" t="s">
        <v>143</v>
      </c>
      <c r="F214" t="s">
        <v>69</v>
      </c>
      <c r="G214" s="1">
        <v>43179</v>
      </c>
      <c r="H214" t="s">
        <v>144</v>
      </c>
      <c r="I214" t="s">
        <v>51</v>
      </c>
      <c r="J214" t="s">
        <v>305</v>
      </c>
      <c r="K214" s="3">
        <v>283</v>
      </c>
      <c r="L214" s="3">
        <v>221</v>
      </c>
      <c r="M214" s="3">
        <v>504</v>
      </c>
      <c r="N214" s="4">
        <v>0.56000000000000005</v>
      </c>
      <c r="O214" s="3">
        <v>24</v>
      </c>
      <c r="P214" s="3"/>
      <c r="Q214" s="3">
        <v>7</v>
      </c>
      <c r="R214" s="3">
        <v>24</v>
      </c>
      <c r="S214" s="5">
        <v>2.7</v>
      </c>
      <c r="T214" s="5">
        <v>3.3</v>
      </c>
      <c r="U214" s="4">
        <v>0.65</v>
      </c>
      <c r="V214" s="4">
        <v>0.56000000000000005</v>
      </c>
      <c r="W214" s="4">
        <v>0.96</v>
      </c>
      <c r="X214" s="4">
        <v>0.68</v>
      </c>
      <c r="Y214" s="4">
        <v>0.28999999999999998</v>
      </c>
      <c r="Z214" s="4">
        <v>0.44</v>
      </c>
      <c r="AA214" s="3">
        <v>23</v>
      </c>
      <c r="AB214" s="3">
        <v>17</v>
      </c>
      <c r="AC214" s="5">
        <v>4.0999999999999996</v>
      </c>
      <c r="AD214" s="4">
        <v>1</v>
      </c>
      <c r="AE214" s="4">
        <v>0.82</v>
      </c>
      <c r="AF214" s="4">
        <v>0.74</v>
      </c>
      <c r="AG214" s="4">
        <v>0.18</v>
      </c>
      <c r="AH214" s="4">
        <v>0.65</v>
      </c>
      <c r="AI214" s="4">
        <v>0.48</v>
      </c>
      <c r="AJ214" t="s">
        <v>72</v>
      </c>
      <c r="AK214" t="s">
        <v>86</v>
      </c>
      <c r="AL214" t="s">
        <v>62</v>
      </c>
      <c r="AM214" t="s">
        <v>73</v>
      </c>
      <c r="AN214" t="s">
        <v>64</v>
      </c>
      <c r="AO214" t="s">
        <v>74</v>
      </c>
      <c r="AP214" t="s">
        <v>75</v>
      </c>
    </row>
    <row r="215" spans="1:42" x14ac:dyDescent="0.25">
      <c r="A215" t="str">
        <f>HYPERLINK("HTTP://10.0.1.74/krs/434/detail","/krs/434")</f>
        <v>/krs/434</v>
      </c>
      <c r="B215">
        <v>434</v>
      </c>
      <c r="C215" t="s">
        <v>257</v>
      </c>
      <c r="D215" t="s">
        <v>81</v>
      </c>
      <c r="E215" t="s">
        <v>143</v>
      </c>
      <c r="F215" t="s">
        <v>130</v>
      </c>
      <c r="G215" s="1">
        <v>43180</v>
      </c>
      <c r="H215" t="s">
        <v>144</v>
      </c>
      <c r="I215" t="s">
        <v>51</v>
      </c>
      <c r="J215" t="s">
        <v>305</v>
      </c>
      <c r="K215" s="3">
        <v>200</v>
      </c>
      <c r="L215" s="3">
        <v>262</v>
      </c>
      <c r="M215" s="3">
        <v>462</v>
      </c>
      <c r="N215" s="4">
        <v>0.43</v>
      </c>
      <c r="O215" s="3">
        <v>22</v>
      </c>
      <c r="P215" s="3"/>
      <c r="Q215" s="3">
        <v>4</v>
      </c>
      <c r="R215" s="3">
        <v>22</v>
      </c>
      <c r="S215" s="5">
        <v>2.1</v>
      </c>
      <c r="T215" s="5">
        <v>3</v>
      </c>
      <c r="U215" s="4">
        <v>0.59</v>
      </c>
      <c r="V215" s="4">
        <v>0.43</v>
      </c>
      <c r="W215" s="4">
        <v>0.77</v>
      </c>
      <c r="X215" s="4">
        <v>0.55000000000000004</v>
      </c>
      <c r="Y215" s="4">
        <v>0.18</v>
      </c>
      <c r="Z215" s="4">
        <v>0.56999999999999995</v>
      </c>
      <c r="AA215" s="3">
        <v>18</v>
      </c>
      <c r="AB215" s="3">
        <v>13</v>
      </c>
      <c r="AC215" s="5">
        <v>3.9</v>
      </c>
      <c r="AD215" s="4">
        <v>1</v>
      </c>
      <c r="AE215" s="4">
        <v>0.78</v>
      </c>
      <c r="AF215" s="4">
        <v>0.72</v>
      </c>
      <c r="AG215" s="4">
        <v>0.22</v>
      </c>
      <c r="AH215" s="4">
        <v>0.53</v>
      </c>
      <c r="AI215" s="4">
        <v>0.37</v>
      </c>
      <c r="AJ215" t="s">
        <v>60</v>
      </c>
      <c r="AK215" t="s">
        <v>86</v>
      </c>
      <c r="AL215" t="s">
        <v>62</v>
      </c>
      <c r="AM215" t="s">
        <v>73</v>
      </c>
      <c r="AN215" t="s">
        <v>64</v>
      </c>
      <c r="AO215" t="s">
        <v>74</v>
      </c>
      <c r="AP215" t="s">
        <v>75</v>
      </c>
    </row>
    <row r="216" spans="1:42" x14ac:dyDescent="0.25">
      <c r="A216" t="str">
        <f>HYPERLINK("HTTP://10.0.1.74/krs/435/detail","/krs/435")</f>
        <v>/krs/435</v>
      </c>
      <c r="B216">
        <v>435</v>
      </c>
      <c r="C216" t="s">
        <v>257</v>
      </c>
      <c r="D216" t="s">
        <v>81</v>
      </c>
      <c r="E216" t="s">
        <v>143</v>
      </c>
      <c r="F216" t="s">
        <v>149</v>
      </c>
      <c r="G216" s="1">
        <v>43179</v>
      </c>
      <c r="H216" t="s">
        <v>144</v>
      </c>
      <c r="I216" t="s">
        <v>51</v>
      </c>
      <c r="J216" t="s">
        <v>306</v>
      </c>
      <c r="K216" s="3">
        <v>140</v>
      </c>
      <c r="L216" s="3">
        <v>322</v>
      </c>
      <c r="M216" s="3">
        <v>462</v>
      </c>
      <c r="N216" s="4">
        <v>0.3</v>
      </c>
      <c r="O216" s="3">
        <v>21</v>
      </c>
      <c r="P216" s="3"/>
      <c r="Q216" s="3">
        <v>0</v>
      </c>
      <c r="R216" s="3">
        <v>21</v>
      </c>
      <c r="S216" s="5">
        <v>2.2000000000000002</v>
      </c>
      <c r="T216" s="5">
        <v>2.2999999999999998</v>
      </c>
      <c r="U216" s="4">
        <v>0.46</v>
      </c>
      <c r="V216" s="4">
        <v>0.3</v>
      </c>
      <c r="W216" s="4">
        <v>0.28999999999999998</v>
      </c>
      <c r="X216" s="4">
        <v>0</v>
      </c>
      <c r="Y216" s="4">
        <v>0</v>
      </c>
      <c r="Z216" s="4">
        <v>0.7</v>
      </c>
      <c r="AA216" s="3">
        <v>0</v>
      </c>
      <c r="AB216" s="3">
        <v>0</v>
      </c>
      <c r="AC216" s="5">
        <v>0</v>
      </c>
      <c r="AD216" s="4">
        <v>0</v>
      </c>
      <c r="AE216" s="4">
        <v>0</v>
      </c>
      <c r="AF216" s="4">
        <v>0</v>
      </c>
      <c r="AG216" s="4">
        <v>1</v>
      </c>
      <c r="AH216" s="4">
        <v>0.46</v>
      </c>
      <c r="AI216" s="4">
        <v>0.17</v>
      </c>
      <c r="AJ216" t="s">
        <v>60</v>
      </c>
      <c r="AK216" t="s">
        <v>86</v>
      </c>
      <c r="AL216" t="s">
        <v>86</v>
      </c>
      <c r="AM216" t="s">
        <v>63</v>
      </c>
      <c r="AN216" t="s">
        <v>97</v>
      </c>
      <c r="AO216" t="s">
        <v>79</v>
      </c>
      <c r="AP216" t="s">
        <v>75</v>
      </c>
    </row>
    <row r="217" spans="1:42" x14ac:dyDescent="0.25">
      <c r="A217" t="str">
        <f>HYPERLINK("HTTP://10.0.1.74/krs/436/detail","/krs/436")</f>
        <v>/krs/436</v>
      </c>
      <c r="B217">
        <v>436</v>
      </c>
      <c r="C217" t="s">
        <v>257</v>
      </c>
      <c r="D217" t="s">
        <v>81</v>
      </c>
      <c r="E217" t="s">
        <v>143</v>
      </c>
      <c r="F217" t="s">
        <v>176</v>
      </c>
      <c r="G217" s="1">
        <v>43175</v>
      </c>
      <c r="H217" t="s">
        <v>144</v>
      </c>
      <c r="I217" t="s">
        <v>51</v>
      </c>
      <c r="J217" t="s">
        <v>307</v>
      </c>
      <c r="K217" s="3">
        <v>400</v>
      </c>
      <c r="L217" s="3">
        <v>209</v>
      </c>
      <c r="M217" s="3">
        <v>609</v>
      </c>
      <c r="N217" s="4">
        <v>0.66</v>
      </c>
      <c r="O217" s="3">
        <v>21</v>
      </c>
      <c r="P217" s="3"/>
      <c r="Q217" s="3">
        <v>15</v>
      </c>
      <c r="R217" s="3">
        <v>20</v>
      </c>
      <c r="S217" s="5">
        <v>3.3</v>
      </c>
      <c r="T217" s="5">
        <v>3.5</v>
      </c>
      <c r="U217" s="4">
        <v>0.74</v>
      </c>
      <c r="V217" s="4">
        <v>0.66</v>
      </c>
      <c r="W217" s="4">
        <v>0.9</v>
      </c>
      <c r="X217" s="4">
        <v>0.81</v>
      </c>
      <c r="Y217" s="4">
        <v>0.75</v>
      </c>
      <c r="Z217" s="4">
        <v>0.34</v>
      </c>
      <c r="AA217" s="3">
        <v>14</v>
      </c>
      <c r="AB217" s="3">
        <v>11</v>
      </c>
      <c r="AC217" s="5">
        <v>4</v>
      </c>
      <c r="AD217" s="4">
        <v>1</v>
      </c>
      <c r="AE217" s="4">
        <v>0.81</v>
      </c>
      <c r="AF217" s="4">
        <v>0.79</v>
      </c>
      <c r="AG217" s="4">
        <v>0.19</v>
      </c>
      <c r="AH217" s="4">
        <v>0.74</v>
      </c>
      <c r="AI217" s="4">
        <v>0.48</v>
      </c>
      <c r="AJ217" t="s">
        <v>72</v>
      </c>
      <c r="AK217" t="s">
        <v>61</v>
      </c>
      <c r="AL217" t="s">
        <v>62</v>
      </c>
      <c r="AM217" t="s">
        <v>73</v>
      </c>
      <c r="AN217" t="s">
        <v>97</v>
      </c>
      <c r="AO217" t="s">
        <v>74</v>
      </c>
      <c r="AP217" t="s">
        <v>75</v>
      </c>
    </row>
    <row r="218" spans="1:42" x14ac:dyDescent="0.25">
      <c r="A218" t="str">
        <f>HYPERLINK("HTTP://10.0.1.74/krs/437/detail","/krs/437")</f>
        <v>/krs/437</v>
      </c>
      <c r="B218">
        <v>437</v>
      </c>
      <c r="C218" t="s">
        <v>80</v>
      </c>
      <c r="D218" t="s">
        <v>81</v>
      </c>
      <c r="E218" t="s">
        <v>125</v>
      </c>
      <c r="F218" t="s">
        <v>176</v>
      </c>
      <c r="G218" s="1">
        <v>43180</v>
      </c>
      <c r="H218" t="s">
        <v>127</v>
      </c>
      <c r="I218" t="s">
        <v>51</v>
      </c>
      <c r="J218" t="s">
        <v>308</v>
      </c>
      <c r="K218" s="3">
        <v>150</v>
      </c>
      <c r="L218" s="3">
        <v>105</v>
      </c>
      <c r="M218" s="3">
        <v>255</v>
      </c>
      <c r="N218" s="4">
        <v>0.59</v>
      </c>
      <c r="O218" s="3">
        <v>17</v>
      </c>
      <c r="P218" s="3"/>
      <c r="Q218" s="3">
        <v>2</v>
      </c>
      <c r="R218" s="3">
        <v>15</v>
      </c>
      <c r="S218" s="5">
        <v>3.2</v>
      </c>
      <c r="T218" s="5">
        <v>1.4</v>
      </c>
      <c r="U218" s="4">
        <v>0.32</v>
      </c>
      <c r="V218" s="4">
        <v>0.59</v>
      </c>
      <c r="W218" s="4">
        <v>0</v>
      </c>
      <c r="X218" s="4">
        <v>0.74</v>
      </c>
      <c r="Y218" s="4">
        <v>0.13</v>
      </c>
      <c r="Z218" s="4">
        <v>0.41</v>
      </c>
      <c r="AA218" s="3">
        <v>10</v>
      </c>
      <c r="AB218" s="3">
        <v>7</v>
      </c>
      <c r="AC218" s="5">
        <v>4</v>
      </c>
      <c r="AD218" s="4">
        <v>1</v>
      </c>
      <c r="AE218" s="4">
        <v>0.8</v>
      </c>
      <c r="AF218" s="4">
        <v>0.7</v>
      </c>
      <c r="AG218" s="4">
        <v>0.2</v>
      </c>
      <c r="AH218" s="4">
        <v>0.59</v>
      </c>
      <c r="AI218" s="4">
        <v>0</v>
      </c>
      <c r="AJ218" t="s">
        <v>60</v>
      </c>
      <c r="AK218" t="s">
        <v>86</v>
      </c>
      <c r="AL218" t="s">
        <v>86</v>
      </c>
      <c r="AM218" t="s">
        <v>73</v>
      </c>
      <c r="AN218" t="s">
        <v>64</v>
      </c>
      <c r="AO218" t="s">
        <v>74</v>
      </c>
      <c r="AP218" t="s">
        <v>75</v>
      </c>
    </row>
    <row r="219" spans="1:42" x14ac:dyDescent="0.25">
      <c r="A219" t="str">
        <f>HYPERLINK("HTTP://10.0.1.74/krs/438/detail","/krs/438")</f>
        <v>/krs/438</v>
      </c>
      <c r="B219">
        <v>438</v>
      </c>
      <c r="C219" t="s">
        <v>309</v>
      </c>
      <c r="D219" t="s">
        <v>310</v>
      </c>
      <c r="E219" t="s">
        <v>54</v>
      </c>
      <c r="F219" t="s">
        <v>126</v>
      </c>
      <c r="G219" s="1">
        <v>43223</v>
      </c>
      <c r="H219" t="s">
        <v>56</v>
      </c>
      <c r="I219" t="s">
        <v>57</v>
      </c>
      <c r="J219" t="s">
        <v>311</v>
      </c>
      <c r="K219" s="3">
        <v>1086</v>
      </c>
      <c r="L219" s="3">
        <v>570</v>
      </c>
      <c r="M219" s="3">
        <v>1656</v>
      </c>
      <c r="N219" s="4">
        <v>0.66</v>
      </c>
      <c r="O219" s="3">
        <v>72</v>
      </c>
      <c r="P219" s="3"/>
      <c r="Q219" s="3">
        <v>33</v>
      </c>
      <c r="R219" s="3">
        <v>72</v>
      </c>
      <c r="S219" s="5">
        <v>3.4</v>
      </c>
      <c r="T219" s="5">
        <v>3.4</v>
      </c>
      <c r="U219" s="4">
        <v>0.67</v>
      </c>
      <c r="V219" s="4">
        <v>0.66</v>
      </c>
      <c r="W219" s="4">
        <v>0.82</v>
      </c>
      <c r="X219" s="4">
        <v>0.86</v>
      </c>
      <c r="Y219" s="4">
        <v>0.46</v>
      </c>
      <c r="Z219" s="4">
        <v>0.34</v>
      </c>
      <c r="AA219" s="3">
        <v>45</v>
      </c>
      <c r="AB219" s="3">
        <v>25</v>
      </c>
      <c r="AC219" s="5">
        <v>3.9</v>
      </c>
      <c r="AD219" s="4">
        <v>0.96</v>
      </c>
      <c r="AE219" s="4">
        <v>0.77</v>
      </c>
      <c r="AF219" s="4">
        <v>0.56000000000000005</v>
      </c>
      <c r="AG219" s="4">
        <v>0.23</v>
      </c>
      <c r="AH219" s="4">
        <v>0.62</v>
      </c>
      <c r="AI219" s="4">
        <v>0.63</v>
      </c>
      <c r="AJ219" t="s">
        <v>72</v>
      </c>
      <c r="AK219" t="s">
        <v>61</v>
      </c>
      <c r="AL219" t="s">
        <v>62</v>
      </c>
      <c r="AM219" t="s">
        <v>73</v>
      </c>
      <c r="AN219" t="s">
        <v>64</v>
      </c>
      <c r="AO219" t="s">
        <v>74</v>
      </c>
      <c r="AP219" t="s">
        <v>75</v>
      </c>
    </row>
    <row r="220" spans="1:42" x14ac:dyDescent="0.25">
      <c r="A220" t="str">
        <f>HYPERLINK("HTTP://10.0.1.74/krs/439/detail","/krs/439")</f>
        <v>/krs/439</v>
      </c>
      <c r="B220">
        <v>439</v>
      </c>
      <c r="C220" t="s">
        <v>309</v>
      </c>
      <c r="D220" t="s">
        <v>310</v>
      </c>
      <c r="E220" t="s">
        <v>54</v>
      </c>
      <c r="F220" t="s">
        <v>95</v>
      </c>
      <c r="G220" s="1">
        <v>43242</v>
      </c>
      <c r="H220" t="s">
        <v>56</v>
      </c>
      <c r="I220" t="s">
        <v>57</v>
      </c>
      <c r="J220" t="s">
        <v>312</v>
      </c>
      <c r="K220" s="3">
        <v>1559</v>
      </c>
      <c r="L220" s="3">
        <v>971</v>
      </c>
      <c r="M220" s="3">
        <v>2530</v>
      </c>
      <c r="N220" s="4">
        <v>0.62</v>
      </c>
      <c r="O220" s="3">
        <v>115</v>
      </c>
      <c r="P220" s="3"/>
      <c r="Q220" s="3">
        <v>38</v>
      </c>
      <c r="R220" s="3">
        <v>115</v>
      </c>
      <c r="S220" s="5">
        <v>3.2</v>
      </c>
      <c r="T220" s="5">
        <v>3.2</v>
      </c>
      <c r="U220" s="4">
        <v>0.64</v>
      </c>
      <c r="V220" s="4">
        <v>0.62</v>
      </c>
      <c r="W220" s="4">
        <v>0.85</v>
      </c>
      <c r="X220" s="4">
        <v>0.77</v>
      </c>
      <c r="Y220" s="4">
        <v>0.33</v>
      </c>
      <c r="Z220" s="4">
        <v>0.38</v>
      </c>
      <c r="AA220" s="3">
        <v>84</v>
      </c>
      <c r="AB220" s="3">
        <v>63</v>
      </c>
      <c r="AC220" s="5">
        <v>4.0999999999999996</v>
      </c>
      <c r="AD220" s="4">
        <v>0.99</v>
      </c>
      <c r="AE220" s="4">
        <v>0.81</v>
      </c>
      <c r="AF220" s="4">
        <v>0.75</v>
      </c>
      <c r="AG220" s="4">
        <v>0.19</v>
      </c>
      <c r="AH220" s="4">
        <v>0.61</v>
      </c>
      <c r="AI220" s="4">
        <v>0.63</v>
      </c>
      <c r="AJ220" t="s">
        <v>72</v>
      </c>
      <c r="AK220" t="s">
        <v>61</v>
      </c>
      <c r="AL220" t="s">
        <v>62</v>
      </c>
      <c r="AM220" t="s">
        <v>73</v>
      </c>
      <c r="AN220" t="s">
        <v>64</v>
      </c>
      <c r="AO220" t="s">
        <v>74</v>
      </c>
      <c r="AP220" t="s">
        <v>75</v>
      </c>
    </row>
    <row r="221" spans="1:42" x14ac:dyDescent="0.25">
      <c r="A221" t="str">
        <f>HYPERLINK("HTTP://10.0.1.74/krs/440/detail","/krs/440")</f>
        <v>/krs/440</v>
      </c>
      <c r="B221">
        <v>440</v>
      </c>
      <c r="C221" t="s">
        <v>309</v>
      </c>
      <c r="D221" t="s">
        <v>310</v>
      </c>
      <c r="E221" t="s">
        <v>54</v>
      </c>
      <c r="F221" t="s">
        <v>270</v>
      </c>
      <c r="G221" s="1">
        <v>43230</v>
      </c>
      <c r="H221" t="s">
        <v>56</v>
      </c>
      <c r="I221" t="s">
        <v>57</v>
      </c>
      <c r="J221" t="s">
        <v>313</v>
      </c>
      <c r="K221" s="3">
        <v>1693</v>
      </c>
      <c r="L221" s="3">
        <v>353</v>
      </c>
      <c r="M221" s="3">
        <v>2046</v>
      </c>
      <c r="N221" s="4">
        <v>0.83</v>
      </c>
      <c r="O221" s="3">
        <v>66</v>
      </c>
      <c r="P221" s="3"/>
      <c r="Q221" s="3">
        <v>57</v>
      </c>
      <c r="R221" s="3">
        <v>66</v>
      </c>
      <c r="S221" s="5">
        <v>4.0999999999999996</v>
      </c>
      <c r="T221" s="5">
        <v>4.0999999999999996</v>
      </c>
      <c r="U221" s="4">
        <v>0.82</v>
      </c>
      <c r="V221" s="4">
        <v>0.83</v>
      </c>
      <c r="W221" s="4">
        <v>0.98</v>
      </c>
      <c r="X221" s="4">
        <v>1.05</v>
      </c>
      <c r="Y221" s="4">
        <v>0.86</v>
      </c>
      <c r="Z221" s="4">
        <v>0.17</v>
      </c>
      <c r="AA221" s="3">
        <v>65</v>
      </c>
      <c r="AB221" s="3">
        <v>46</v>
      </c>
      <c r="AC221" s="5">
        <v>3.9</v>
      </c>
      <c r="AD221" s="4">
        <v>1</v>
      </c>
      <c r="AE221" s="4">
        <v>0.79</v>
      </c>
      <c r="AF221" s="4">
        <v>0.71</v>
      </c>
      <c r="AG221" s="4">
        <v>0.21</v>
      </c>
      <c r="AH221" s="4">
        <v>0.8</v>
      </c>
      <c r="AI221" s="4">
        <v>0.85</v>
      </c>
      <c r="AJ221" t="s">
        <v>72</v>
      </c>
      <c r="AK221" t="s">
        <v>62</v>
      </c>
      <c r="AL221" t="s">
        <v>62</v>
      </c>
      <c r="AM221" t="s">
        <v>63</v>
      </c>
      <c r="AN221" t="s">
        <v>64</v>
      </c>
      <c r="AO221" t="s">
        <v>79</v>
      </c>
      <c r="AP221" t="s">
        <v>66</v>
      </c>
    </row>
    <row r="222" spans="1:42" x14ac:dyDescent="0.25">
      <c r="A222" t="str">
        <f>HYPERLINK("HTTP://10.0.1.74/krs/441/detail","/krs/441")</f>
        <v>/krs/441</v>
      </c>
      <c r="B222">
        <v>441</v>
      </c>
      <c r="C222" t="s">
        <v>309</v>
      </c>
      <c r="D222" t="s">
        <v>310</v>
      </c>
      <c r="E222" t="s">
        <v>160</v>
      </c>
      <c r="F222" t="s">
        <v>126</v>
      </c>
      <c r="G222" s="1">
        <v>43235</v>
      </c>
      <c r="H222" t="s">
        <v>56</v>
      </c>
      <c r="I222" t="s">
        <v>57</v>
      </c>
      <c r="J222" t="s">
        <v>314</v>
      </c>
      <c r="K222" s="3">
        <v>1427</v>
      </c>
      <c r="L222" s="3">
        <v>845</v>
      </c>
      <c r="M222" s="3">
        <v>2272</v>
      </c>
      <c r="N222" s="4">
        <v>0.63</v>
      </c>
      <c r="O222" s="3">
        <v>71</v>
      </c>
      <c r="P222" s="3"/>
      <c r="Q222" s="3">
        <v>29</v>
      </c>
      <c r="R222" s="3">
        <v>71</v>
      </c>
      <c r="S222" s="5">
        <v>3.4</v>
      </c>
      <c r="T222" s="5">
        <v>3.4</v>
      </c>
      <c r="U222" s="4">
        <v>0.67</v>
      </c>
      <c r="V222" s="4">
        <v>0.63</v>
      </c>
      <c r="W222" s="4">
        <v>0.92</v>
      </c>
      <c r="X222" s="4">
        <v>0.76</v>
      </c>
      <c r="Y222" s="4">
        <v>0.41</v>
      </c>
      <c r="Z222" s="4">
        <v>0.37</v>
      </c>
      <c r="AA222" s="3">
        <v>44</v>
      </c>
      <c r="AB222" s="3">
        <v>31</v>
      </c>
      <c r="AC222" s="5">
        <v>4.2</v>
      </c>
      <c r="AD222" s="4">
        <v>0.98</v>
      </c>
      <c r="AE222" s="4">
        <v>0.83</v>
      </c>
      <c r="AF222" s="4">
        <v>0.7</v>
      </c>
      <c r="AG222" s="4">
        <v>0.17</v>
      </c>
      <c r="AH222" s="4">
        <v>0.65</v>
      </c>
      <c r="AI222" s="4">
        <v>0.56999999999999995</v>
      </c>
      <c r="AJ222" t="s">
        <v>72</v>
      </c>
      <c r="AK222" t="s">
        <v>61</v>
      </c>
      <c r="AL222" t="s">
        <v>62</v>
      </c>
      <c r="AM222" t="s">
        <v>73</v>
      </c>
      <c r="AN222" t="s">
        <v>64</v>
      </c>
      <c r="AO222" t="s">
        <v>74</v>
      </c>
      <c r="AP222" t="s">
        <v>75</v>
      </c>
    </row>
    <row r="223" spans="1:42" x14ac:dyDescent="0.25">
      <c r="A223" t="str">
        <f>HYPERLINK("HTTP://10.0.1.74/krs/442/detail","/krs/442")</f>
        <v>/krs/442</v>
      </c>
      <c r="B223">
        <v>442</v>
      </c>
      <c r="C223" t="s">
        <v>309</v>
      </c>
      <c r="D223" t="s">
        <v>310</v>
      </c>
      <c r="E223" t="s">
        <v>143</v>
      </c>
      <c r="F223" t="s">
        <v>284</v>
      </c>
      <c r="G223" s="1">
        <v>43236</v>
      </c>
      <c r="H223" t="s">
        <v>231</v>
      </c>
      <c r="I223" t="s">
        <v>51</v>
      </c>
      <c r="K223" s="3">
        <v>1409</v>
      </c>
      <c r="L223" s="3">
        <v>1144</v>
      </c>
      <c r="M223" s="3">
        <v>2553</v>
      </c>
      <c r="N223" s="4">
        <v>0.55000000000000004</v>
      </c>
      <c r="O223" s="3">
        <v>111</v>
      </c>
      <c r="P223" s="3"/>
      <c r="Q223" s="3">
        <v>36</v>
      </c>
      <c r="R223" s="3">
        <v>111</v>
      </c>
      <c r="S223" s="5">
        <v>3.1</v>
      </c>
      <c r="T223" s="5">
        <v>3.1</v>
      </c>
      <c r="U223" s="4">
        <v>0.62</v>
      </c>
      <c r="V223" s="4">
        <v>0.55000000000000004</v>
      </c>
      <c r="W223" s="4">
        <v>0.76</v>
      </c>
      <c r="X223" s="4">
        <v>0</v>
      </c>
      <c r="Y223" s="4">
        <v>0.32</v>
      </c>
      <c r="Z223" s="4">
        <v>0.45</v>
      </c>
      <c r="AA223" s="3">
        <v>0</v>
      </c>
      <c r="AB223" s="3">
        <v>0</v>
      </c>
      <c r="AC223" s="5">
        <v>0</v>
      </c>
      <c r="AD223" s="4">
        <v>0</v>
      </c>
      <c r="AE223" s="4">
        <v>0</v>
      </c>
      <c r="AF223" s="4">
        <v>0</v>
      </c>
      <c r="AG223" s="4">
        <v>1</v>
      </c>
      <c r="AH223" s="4">
        <v>0.62</v>
      </c>
      <c r="AI223" s="4">
        <v>0.45</v>
      </c>
      <c r="AJ223" t="s">
        <v>72</v>
      </c>
      <c r="AK223" t="s">
        <v>86</v>
      </c>
      <c r="AL223" t="s">
        <v>62</v>
      </c>
      <c r="AM223" t="s">
        <v>63</v>
      </c>
      <c r="AN223" t="s">
        <v>64</v>
      </c>
      <c r="AO223" t="s">
        <v>79</v>
      </c>
      <c r="AP223" t="s">
        <v>75</v>
      </c>
    </row>
    <row r="224" spans="1:42" x14ac:dyDescent="0.25">
      <c r="A224" t="str">
        <f>HYPERLINK("HTTP://10.0.1.74/krs/445/detail","/krs/445")</f>
        <v>/krs/445</v>
      </c>
      <c r="B224">
        <v>445</v>
      </c>
      <c r="C224" t="s">
        <v>315</v>
      </c>
      <c r="D224" t="s">
        <v>228</v>
      </c>
      <c r="E224" t="s">
        <v>54</v>
      </c>
      <c r="F224" t="s">
        <v>95</v>
      </c>
      <c r="G224" s="1">
        <v>43223</v>
      </c>
      <c r="H224" t="s">
        <v>56</v>
      </c>
      <c r="I224" t="s">
        <v>57</v>
      </c>
      <c r="J224" t="s">
        <v>316</v>
      </c>
      <c r="K224" s="3">
        <v>1585</v>
      </c>
      <c r="L224" s="3">
        <v>505</v>
      </c>
      <c r="M224" s="3">
        <v>2090</v>
      </c>
      <c r="N224" s="4">
        <v>0.76</v>
      </c>
      <c r="O224" s="3">
        <v>110</v>
      </c>
      <c r="P224" s="3"/>
      <c r="Q224" s="3">
        <v>74</v>
      </c>
      <c r="R224" s="3">
        <v>110</v>
      </c>
      <c r="S224" s="5">
        <v>3.7</v>
      </c>
      <c r="T224" s="5">
        <v>3.7</v>
      </c>
      <c r="U224" s="4">
        <v>0.74</v>
      </c>
      <c r="V224" s="4">
        <v>0.76</v>
      </c>
      <c r="W224" s="4">
        <v>1</v>
      </c>
      <c r="X224" s="4">
        <v>0.94</v>
      </c>
      <c r="Y224" s="4">
        <v>0.67</v>
      </c>
      <c r="Z224" s="4">
        <v>0.24</v>
      </c>
      <c r="AA224" s="3">
        <v>79</v>
      </c>
      <c r="AB224" s="3">
        <v>60</v>
      </c>
      <c r="AC224" s="5">
        <v>4.0999999999999996</v>
      </c>
      <c r="AD224" s="4">
        <v>0.99</v>
      </c>
      <c r="AE224" s="4">
        <v>0.81</v>
      </c>
      <c r="AF224" s="4">
        <v>0.76</v>
      </c>
      <c r="AG224" s="4">
        <v>0.19</v>
      </c>
      <c r="AH224" s="4">
        <v>0.77</v>
      </c>
      <c r="AI224" s="4">
        <v>0.93</v>
      </c>
      <c r="AJ224" t="s">
        <v>72</v>
      </c>
      <c r="AK224" t="s">
        <v>62</v>
      </c>
      <c r="AL224" t="s">
        <v>62</v>
      </c>
      <c r="AM224" t="s">
        <v>63</v>
      </c>
      <c r="AN224" t="s">
        <v>97</v>
      </c>
      <c r="AO224" t="s">
        <v>65</v>
      </c>
      <c r="AP224" t="s">
        <v>66</v>
      </c>
    </row>
    <row r="225" spans="1:42" x14ac:dyDescent="0.25">
      <c r="A225" t="str">
        <f>HYPERLINK("HTTP://10.0.1.74/krs/447/detail","/krs/447")</f>
        <v>/krs/447</v>
      </c>
      <c r="B225">
        <v>447</v>
      </c>
      <c r="C225" t="s">
        <v>259</v>
      </c>
      <c r="D225" t="s">
        <v>310</v>
      </c>
      <c r="E225" t="s">
        <v>98</v>
      </c>
      <c r="F225" t="s">
        <v>175</v>
      </c>
      <c r="G225" s="1">
        <v>43242</v>
      </c>
      <c r="H225" t="s">
        <v>299</v>
      </c>
      <c r="I225" t="s">
        <v>57</v>
      </c>
      <c r="K225" s="3">
        <v>221</v>
      </c>
      <c r="L225" s="3">
        <v>87</v>
      </c>
      <c r="M225" s="3">
        <v>308</v>
      </c>
      <c r="N225" s="4">
        <v>0.72</v>
      </c>
      <c r="O225" s="3">
        <v>11</v>
      </c>
      <c r="P225" s="3"/>
      <c r="Q225" s="3">
        <v>8</v>
      </c>
      <c r="R225" s="3">
        <v>11</v>
      </c>
      <c r="S225" s="5">
        <v>3.8</v>
      </c>
      <c r="T225" s="5">
        <v>3.8</v>
      </c>
      <c r="U225" s="4">
        <v>0.76</v>
      </c>
      <c r="V225" s="4">
        <v>0.72</v>
      </c>
      <c r="W225" s="4">
        <v>1</v>
      </c>
      <c r="X225" s="4">
        <v>0.89</v>
      </c>
      <c r="Y225" s="4">
        <v>0.73</v>
      </c>
      <c r="Z225" s="4">
        <v>0.28000000000000003</v>
      </c>
      <c r="AA225" s="3">
        <v>11</v>
      </c>
      <c r="AB225" s="3">
        <v>7</v>
      </c>
      <c r="AC225" s="5">
        <v>4.0999999999999996</v>
      </c>
      <c r="AD225" s="4">
        <v>1</v>
      </c>
      <c r="AE225" s="4">
        <v>0.81</v>
      </c>
      <c r="AF225" s="4">
        <v>0.64</v>
      </c>
      <c r="AG225" s="4">
        <v>0.19</v>
      </c>
      <c r="AH225" s="4">
        <v>0.69</v>
      </c>
      <c r="AI225" s="4">
        <v>0.9</v>
      </c>
      <c r="AJ225" t="s">
        <v>72</v>
      </c>
      <c r="AK225" t="s">
        <v>62</v>
      </c>
      <c r="AL225" t="s">
        <v>62</v>
      </c>
      <c r="AM225" t="s">
        <v>104</v>
      </c>
      <c r="AN225" t="s">
        <v>97</v>
      </c>
      <c r="AO225" t="s">
        <v>65</v>
      </c>
      <c r="AP225" t="s">
        <v>75</v>
      </c>
    </row>
    <row r="226" spans="1:42" x14ac:dyDescent="0.25">
      <c r="A226" t="str">
        <f>HYPERLINK("HTTP://10.0.1.74/krs/448/detail","/krs/448")</f>
        <v>/krs/448</v>
      </c>
      <c r="B226">
        <v>448</v>
      </c>
      <c r="C226" t="s">
        <v>317</v>
      </c>
      <c r="D226" t="s">
        <v>81</v>
      </c>
      <c r="E226" t="s">
        <v>54</v>
      </c>
      <c r="F226" t="s">
        <v>55</v>
      </c>
      <c r="G226" s="1">
        <v>43199</v>
      </c>
      <c r="H226" t="s">
        <v>56</v>
      </c>
      <c r="I226" t="s">
        <v>57</v>
      </c>
      <c r="K226" s="3">
        <v>181</v>
      </c>
      <c r="L226" s="3">
        <v>139</v>
      </c>
      <c r="M226" s="3">
        <v>320</v>
      </c>
      <c r="N226" s="4">
        <v>0.56999999999999995</v>
      </c>
      <c r="O226" s="3">
        <v>16</v>
      </c>
      <c r="P226" s="3"/>
      <c r="Q226" s="3">
        <v>4</v>
      </c>
      <c r="R226" s="3">
        <v>16</v>
      </c>
      <c r="S226" s="5">
        <v>2.9</v>
      </c>
      <c r="T226" s="5">
        <v>3.2</v>
      </c>
      <c r="U226" s="4">
        <v>0.64</v>
      </c>
      <c r="V226" s="4">
        <v>0.56999999999999995</v>
      </c>
      <c r="W226" s="4">
        <v>0.94</v>
      </c>
      <c r="X226" s="4">
        <v>0.8</v>
      </c>
      <c r="Y226" s="4">
        <v>0.25</v>
      </c>
      <c r="Z226" s="4">
        <v>0.43</v>
      </c>
      <c r="AA226" s="3">
        <v>16</v>
      </c>
      <c r="AB226" s="3">
        <v>9</v>
      </c>
      <c r="AC226" s="5">
        <v>3.6</v>
      </c>
      <c r="AD226" s="4">
        <v>1</v>
      </c>
      <c r="AE226" s="4">
        <v>0.71</v>
      </c>
      <c r="AF226" s="4">
        <v>0.56000000000000005</v>
      </c>
      <c r="AG226" s="4">
        <v>0.28999999999999998</v>
      </c>
      <c r="AH226" s="4">
        <v>0.47</v>
      </c>
      <c r="AI226" s="4">
        <v>0.74</v>
      </c>
      <c r="AJ226" t="s">
        <v>72</v>
      </c>
      <c r="AK226" t="s">
        <v>86</v>
      </c>
      <c r="AL226" t="s">
        <v>62</v>
      </c>
      <c r="AM226" t="s">
        <v>73</v>
      </c>
      <c r="AN226" t="s">
        <v>64</v>
      </c>
      <c r="AO226" t="s">
        <v>74</v>
      </c>
      <c r="AP226" t="s">
        <v>75</v>
      </c>
    </row>
    <row r="227" spans="1:42" x14ac:dyDescent="0.25">
      <c r="A227" t="str">
        <f>HYPERLINK("HTTP://10.0.1.74/krs/449/detail","/krs/449")</f>
        <v>/krs/449</v>
      </c>
      <c r="B227">
        <v>449</v>
      </c>
      <c r="C227" t="s">
        <v>317</v>
      </c>
      <c r="D227" t="s">
        <v>81</v>
      </c>
      <c r="E227" t="s">
        <v>54</v>
      </c>
      <c r="F227" t="s">
        <v>76</v>
      </c>
      <c r="G227" s="1">
        <v>43202</v>
      </c>
      <c r="H227" t="s">
        <v>56</v>
      </c>
      <c r="I227" t="s">
        <v>57</v>
      </c>
      <c r="J227" t="s">
        <v>318</v>
      </c>
      <c r="K227" s="3">
        <v>216</v>
      </c>
      <c r="L227" s="3">
        <v>141</v>
      </c>
      <c r="M227" s="3">
        <v>357</v>
      </c>
      <c r="N227" s="4">
        <v>0.61</v>
      </c>
      <c r="O227" s="3">
        <v>21</v>
      </c>
      <c r="P227" s="3"/>
      <c r="Q227" s="3">
        <v>5</v>
      </c>
      <c r="R227" s="3">
        <v>21</v>
      </c>
      <c r="S227" s="5">
        <v>3</v>
      </c>
      <c r="T227" s="5">
        <v>3.2</v>
      </c>
      <c r="U227" s="4">
        <v>0.65</v>
      </c>
      <c r="V227" s="4">
        <v>0.61</v>
      </c>
      <c r="W227" s="4">
        <v>1</v>
      </c>
      <c r="X227" s="4">
        <v>0</v>
      </c>
      <c r="Y227" s="4">
        <v>0.24</v>
      </c>
      <c r="Z227" s="4">
        <v>0.39</v>
      </c>
      <c r="AA227" s="3">
        <v>0</v>
      </c>
      <c r="AB227" s="3">
        <v>0</v>
      </c>
      <c r="AC227" s="5">
        <v>0</v>
      </c>
      <c r="AD227" s="4">
        <v>0</v>
      </c>
      <c r="AE227" s="4">
        <v>0</v>
      </c>
      <c r="AF227" s="4">
        <v>0</v>
      </c>
      <c r="AG227" s="4">
        <v>1</v>
      </c>
      <c r="AH227" s="4">
        <v>0</v>
      </c>
      <c r="AI227" s="4">
        <v>0.61</v>
      </c>
      <c r="AJ227" t="s">
        <v>72</v>
      </c>
      <c r="AK227" t="s">
        <v>61</v>
      </c>
      <c r="AL227" t="s">
        <v>62</v>
      </c>
      <c r="AM227" t="s">
        <v>63</v>
      </c>
      <c r="AN227" t="s">
        <v>64</v>
      </c>
      <c r="AO227" t="s">
        <v>79</v>
      </c>
      <c r="AP227" t="s">
        <v>75</v>
      </c>
    </row>
    <row r="228" spans="1:42" x14ac:dyDescent="0.25">
      <c r="A228" t="str">
        <f>HYPERLINK("HTTP://10.0.1.74/krs/450/detail","/krs/450")</f>
        <v>/krs/450</v>
      </c>
      <c r="B228">
        <v>450</v>
      </c>
      <c r="C228" t="s">
        <v>319</v>
      </c>
      <c r="D228" t="s">
        <v>81</v>
      </c>
      <c r="E228" t="s">
        <v>54</v>
      </c>
      <c r="F228" t="s">
        <v>107</v>
      </c>
      <c r="G228" s="1">
        <v>43203</v>
      </c>
      <c r="H228" t="s">
        <v>56</v>
      </c>
      <c r="I228" t="s">
        <v>57</v>
      </c>
      <c r="J228" t="s">
        <v>320</v>
      </c>
      <c r="K228" s="3">
        <v>260</v>
      </c>
      <c r="L228" s="3">
        <v>100</v>
      </c>
      <c r="M228" s="3">
        <v>360</v>
      </c>
      <c r="N228" s="4">
        <v>0.72</v>
      </c>
      <c r="O228" s="3">
        <v>18</v>
      </c>
      <c r="P228" s="3"/>
      <c r="Q228" s="3">
        <v>12</v>
      </c>
      <c r="R228" s="3">
        <v>18</v>
      </c>
      <c r="S228" s="5">
        <v>3.6</v>
      </c>
      <c r="T228" s="5">
        <v>3.9</v>
      </c>
      <c r="U228" s="4">
        <v>0.78</v>
      </c>
      <c r="V228" s="4">
        <v>0.72</v>
      </c>
      <c r="W228" s="4">
        <v>0.89</v>
      </c>
      <c r="X228" s="4">
        <v>0.88</v>
      </c>
      <c r="Y228" s="4">
        <v>0.67</v>
      </c>
      <c r="Z228" s="4">
        <v>0.28000000000000003</v>
      </c>
      <c r="AA228" s="3">
        <v>16</v>
      </c>
      <c r="AB228" s="3">
        <v>11</v>
      </c>
      <c r="AC228" s="5">
        <v>4.0999999999999996</v>
      </c>
      <c r="AD228" s="4">
        <v>1</v>
      </c>
      <c r="AE228" s="4">
        <v>0.82</v>
      </c>
      <c r="AF228" s="4">
        <v>0.69</v>
      </c>
      <c r="AG228" s="4">
        <v>0.18</v>
      </c>
      <c r="AH228" s="4">
        <v>0.73</v>
      </c>
      <c r="AI228" s="4">
        <v>0</v>
      </c>
      <c r="AJ228" t="s">
        <v>72</v>
      </c>
      <c r="AK228" t="s">
        <v>62</v>
      </c>
      <c r="AL228" t="s">
        <v>62</v>
      </c>
      <c r="AM228" t="s">
        <v>104</v>
      </c>
      <c r="AN228" t="s">
        <v>97</v>
      </c>
      <c r="AO228" t="s">
        <v>74</v>
      </c>
      <c r="AP228" t="s">
        <v>75</v>
      </c>
    </row>
    <row r="229" spans="1:42" x14ac:dyDescent="0.25">
      <c r="A229" t="str">
        <f>HYPERLINK("HTTP://10.0.1.74/krs/451/detail","/krs/451")</f>
        <v>/krs/451</v>
      </c>
      <c r="B229">
        <v>451</v>
      </c>
      <c r="C229" t="s">
        <v>59</v>
      </c>
      <c r="D229" t="s">
        <v>81</v>
      </c>
      <c r="E229" t="s">
        <v>54</v>
      </c>
      <c r="F229" t="s">
        <v>123</v>
      </c>
      <c r="G229" s="1">
        <v>43173</v>
      </c>
      <c r="H229" t="s">
        <v>121</v>
      </c>
      <c r="I229" t="s">
        <v>51</v>
      </c>
      <c r="J229" t="s">
        <v>321</v>
      </c>
      <c r="K229" s="3">
        <v>95</v>
      </c>
      <c r="L229" s="3">
        <v>25</v>
      </c>
      <c r="M229" s="3">
        <v>120</v>
      </c>
      <c r="N229" s="4">
        <v>0.79</v>
      </c>
      <c r="O229" s="3">
        <v>24</v>
      </c>
      <c r="P229" s="3"/>
      <c r="Q229" s="3">
        <v>18</v>
      </c>
      <c r="R229" s="3">
        <v>24</v>
      </c>
      <c r="S229" s="5">
        <v>4.2</v>
      </c>
      <c r="T229" s="5">
        <v>4</v>
      </c>
      <c r="U229" s="4">
        <v>0.79</v>
      </c>
      <c r="V229" s="4">
        <v>0.79</v>
      </c>
      <c r="W229" s="4">
        <v>1</v>
      </c>
      <c r="X229" s="4">
        <v>0.87</v>
      </c>
      <c r="Y229" s="4">
        <v>0.75</v>
      </c>
      <c r="Z229" s="4">
        <v>0.21</v>
      </c>
      <c r="AA229" s="3">
        <v>23</v>
      </c>
      <c r="AB229" s="3">
        <v>23</v>
      </c>
      <c r="AC229" s="5">
        <v>4.5</v>
      </c>
      <c r="AD229" s="4">
        <v>1</v>
      </c>
      <c r="AE229" s="4">
        <v>0.91</v>
      </c>
      <c r="AF229" s="4">
        <v>1</v>
      </c>
      <c r="AG229" s="4">
        <v>0.09</v>
      </c>
      <c r="AH229" s="4">
        <v>0.79</v>
      </c>
      <c r="AI229" s="4">
        <v>0</v>
      </c>
      <c r="AJ229" t="s">
        <v>72</v>
      </c>
      <c r="AK229" t="s">
        <v>62</v>
      </c>
      <c r="AL229" t="s">
        <v>62</v>
      </c>
      <c r="AM229" t="s">
        <v>73</v>
      </c>
      <c r="AN229" t="s">
        <v>64</v>
      </c>
      <c r="AO229" t="s">
        <v>74</v>
      </c>
      <c r="AP229" t="s">
        <v>75</v>
      </c>
    </row>
    <row r="230" spans="1:42" x14ac:dyDescent="0.25">
      <c r="A230" t="str">
        <f>HYPERLINK("HTTP://10.0.1.74/krs/452/detail","/krs/452")</f>
        <v>/krs/452</v>
      </c>
      <c r="B230">
        <v>452</v>
      </c>
      <c r="C230" t="s">
        <v>103</v>
      </c>
      <c r="D230" t="s">
        <v>310</v>
      </c>
      <c r="E230" t="s">
        <v>68</v>
      </c>
      <c r="F230" t="s">
        <v>126</v>
      </c>
      <c r="G230" s="1">
        <v>43230</v>
      </c>
      <c r="H230" t="s">
        <v>70</v>
      </c>
      <c r="I230" t="s">
        <v>51</v>
      </c>
      <c r="J230" t="s">
        <v>322</v>
      </c>
      <c r="K230" s="3">
        <v>1495</v>
      </c>
      <c r="L230" s="3">
        <v>429</v>
      </c>
      <c r="M230" s="3">
        <v>1924</v>
      </c>
      <c r="N230" s="4">
        <v>0.78</v>
      </c>
      <c r="O230" s="3">
        <v>74</v>
      </c>
      <c r="P230" s="3"/>
      <c r="Q230" s="3">
        <v>56</v>
      </c>
      <c r="R230" s="3">
        <v>74</v>
      </c>
      <c r="S230" s="5">
        <v>3.9</v>
      </c>
      <c r="T230" s="5">
        <v>3.9</v>
      </c>
      <c r="U230" s="4">
        <v>0.79</v>
      </c>
      <c r="V230" s="4">
        <v>0.78</v>
      </c>
      <c r="W230" s="4">
        <v>0.97</v>
      </c>
      <c r="X230" s="4">
        <v>0.99</v>
      </c>
      <c r="Y230" s="4">
        <v>0.76</v>
      </c>
      <c r="Z230" s="4">
        <v>0.22</v>
      </c>
      <c r="AA230" s="3">
        <v>47</v>
      </c>
      <c r="AB230" s="3">
        <v>28</v>
      </c>
      <c r="AC230" s="5">
        <v>3.9</v>
      </c>
      <c r="AD230" s="4">
        <v>1</v>
      </c>
      <c r="AE230" s="4">
        <v>0.79</v>
      </c>
      <c r="AF230" s="4">
        <v>0.6</v>
      </c>
      <c r="AG230" s="4">
        <v>0.21</v>
      </c>
      <c r="AH230" s="4">
        <v>0.89</v>
      </c>
      <c r="AI230" s="4">
        <v>0.41</v>
      </c>
      <c r="AJ230" t="s">
        <v>72</v>
      </c>
      <c r="AK230" t="s">
        <v>62</v>
      </c>
      <c r="AL230" t="s">
        <v>62</v>
      </c>
      <c r="AM230" t="s">
        <v>63</v>
      </c>
      <c r="AN230" t="s">
        <v>64</v>
      </c>
      <c r="AO230" t="s">
        <v>79</v>
      </c>
      <c r="AP230" t="s">
        <v>66</v>
      </c>
    </row>
    <row r="231" spans="1:42" x14ac:dyDescent="0.25">
      <c r="A231" t="str">
        <f>HYPERLINK("HTTP://10.0.1.74/krs/453/detail","/krs/453")</f>
        <v>/krs/453</v>
      </c>
      <c r="B231">
        <v>453</v>
      </c>
      <c r="C231" t="s">
        <v>91</v>
      </c>
      <c r="D231" t="s">
        <v>81</v>
      </c>
      <c r="E231" t="s">
        <v>54</v>
      </c>
      <c r="F231" t="s">
        <v>99</v>
      </c>
      <c r="G231" s="1">
        <v>43161</v>
      </c>
      <c r="H231" t="s">
        <v>121</v>
      </c>
      <c r="I231" t="s">
        <v>51</v>
      </c>
      <c r="J231" t="s">
        <v>323</v>
      </c>
      <c r="K231" s="3">
        <v>110</v>
      </c>
      <c r="L231" s="3">
        <v>34</v>
      </c>
      <c r="M231" s="3">
        <v>144</v>
      </c>
      <c r="N231" s="4">
        <v>0.76</v>
      </c>
      <c r="O231" s="3">
        <v>24</v>
      </c>
      <c r="P231" s="3"/>
      <c r="Q231" s="3">
        <v>17</v>
      </c>
      <c r="R231" s="3">
        <v>24</v>
      </c>
      <c r="S231" s="5">
        <v>3.8</v>
      </c>
      <c r="T231" s="5">
        <v>3.9</v>
      </c>
      <c r="U231" s="4">
        <v>0.78</v>
      </c>
      <c r="V231" s="4">
        <v>0.76</v>
      </c>
      <c r="W231" s="4">
        <v>0.92</v>
      </c>
      <c r="X231" s="4">
        <v>0.76</v>
      </c>
      <c r="Y231" s="4">
        <v>0.71</v>
      </c>
      <c r="Z231" s="4">
        <v>0.24</v>
      </c>
      <c r="AA231" s="3">
        <v>1</v>
      </c>
      <c r="AB231" s="3">
        <v>1</v>
      </c>
      <c r="AC231" s="5">
        <v>5</v>
      </c>
      <c r="AD231" s="4">
        <v>1</v>
      </c>
      <c r="AE231" s="4">
        <v>1</v>
      </c>
      <c r="AF231" s="4">
        <v>1</v>
      </c>
      <c r="AG231" s="4">
        <v>0</v>
      </c>
      <c r="AH231" s="4">
        <v>0.76</v>
      </c>
      <c r="AI231" s="4">
        <v>0</v>
      </c>
      <c r="AJ231" t="s">
        <v>72</v>
      </c>
      <c r="AK231" t="s">
        <v>62</v>
      </c>
      <c r="AL231" t="s">
        <v>62</v>
      </c>
      <c r="AM231" t="s">
        <v>73</v>
      </c>
      <c r="AN231" t="s">
        <v>64</v>
      </c>
      <c r="AO231" t="s">
        <v>74</v>
      </c>
      <c r="AP231" t="s">
        <v>75</v>
      </c>
    </row>
    <row r="232" spans="1:42" x14ac:dyDescent="0.25">
      <c r="A232" t="str">
        <f>HYPERLINK("HTTP://10.0.1.74/krs/454/detail","/krs/454")</f>
        <v>/krs/454</v>
      </c>
      <c r="B232">
        <v>454</v>
      </c>
      <c r="C232" t="s">
        <v>91</v>
      </c>
      <c r="D232" t="s">
        <v>81</v>
      </c>
      <c r="E232" t="s">
        <v>54</v>
      </c>
      <c r="F232" t="s">
        <v>89</v>
      </c>
      <c r="G232" s="1">
        <v>43172</v>
      </c>
      <c r="H232" t="s">
        <v>121</v>
      </c>
      <c r="I232" t="s">
        <v>51</v>
      </c>
      <c r="J232" t="s">
        <v>324</v>
      </c>
      <c r="K232" s="3">
        <v>86</v>
      </c>
      <c r="L232" s="3">
        <v>29</v>
      </c>
      <c r="M232" s="3">
        <v>115</v>
      </c>
      <c r="N232" s="4">
        <v>0.75</v>
      </c>
      <c r="O232" s="3">
        <v>23</v>
      </c>
      <c r="P232" s="3"/>
      <c r="Q232" s="3">
        <v>14</v>
      </c>
      <c r="R232" s="3">
        <v>23</v>
      </c>
      <c r="S232" s="5">
        <v>4</v>
      </c>
      <c r="T232" s="5">
        <v>3.8</v>
      </c>
      <c r="U232" s="4">
        <v>0.77</v>
      </c>
      <c r="V232" s="4">
        <v>0.75</v>
      </c>
      <c r="W232" s="4">
        <v>1</v>
      </c>
      <c r="X232" s="4">
        <v>0</v>
      </c>
      <c r="Y232" s="4">
        <v>0.61</v>
      </c>
      <c r="Z232" s="4">
        <v>0.25</v>
      </c>
      <c r="AA232" s="3">
        <v>0</v>
      </c>
      <c r="AB232" s="3">
        <v>0</v>
      </c>
      <c r="AC232" s="5">
        <v>0</v>
      </c>
      <c r="AD232" s="4">
        <v>0</v>
      </c>
      <c r="AE232" s="4">
        <v>0</v>
      </c>
      <c r="AF232" s="4">
        <v>0</v>
      </c>
      <c r="AG232" s="4">
        <v>1</v>
      </c>
      <c r="AH232" s="4">
        <v>0.73</v>
      </c>
      <c r="AI232" s="4">
        <v>0.83</v>
      </c>
      <c r="AJ232" t="s">
        <v>72</v>
      </c>
      <c r="AK232" t="s">
        <v>62</v>
      </c>
      <c r="AL232" t="s">
        <v>62</v>
      </c>
      <c r="AM232" t="s">
        <v>63</v>
      </c>
      <c r="AN232" t="s">
        <v>64</v>
      </c>
      <c r="AO232" t="s">
        <v>79</v>
      </c>
      <c r="AP232" t="s">
        <v>75</v>
      </c>
    </row>
    <row r="233" spans="1:42" x14ac:dyDescent="0.25">
      <c r="A233" t="str">
        <f>HYPERLINK("HTTP://10.0.1.74/krs/455/detail","/krs/455")</f>
        <v>/krs/455</v>
      </c>
      <c r="B233">
        <v>455</v>
      </c>
      <c r="C233" t="s">
        <v>78</v>
      </c>
      <c r="D233" t="s">
        <v>310</v>
      </c>
      <c r="E233" t="s">
        <v>68</v>
      </c>
      <c r="F233" t="s">
        <v>325</v>
      </c>
      <c r="G233" s="1">
        <v>43230</v>
      </c>
      <c r="H233" t="s">
        <v>210</v>
      </c>
      <c r="I233" t="s">
        <v>51</v>
      </c>
      <c r="J233" t="s">
        <v>326</v>
      </c>
      <c r="K233" s="3">
        <v>485</v>
      </c>
      <c r="L233" s="3">
        <v>187</v>
      </c>
      <c r="M233" s="3">
        <v>672</v>
      </c>
      <c r="N233" s="4">
        <v>0.72</v>
      </c>
      <c r="O233" s="3">
        <v>54</v>
      </c>
      <c r="P233" s="3"/>
      <c r="Q233" s="3">
        <v>34</v>
      </c>
      <c r="R233" s="3">
        <v>54</v>
      </c>
      <c r="S233" s="5">
        <v>3.8</v>
      </c>
      <c r="T233" s="5">
        <v>3.8</v>
      </c>
      <c r="U233" s="4">
        <v>0.76</v>
      </c>
      <c r="V233" s="4">
        <v>0.72</v>
      </c>
      <c r="W233" s="4">
        <v>0.94</v>
      </c>
      <c r="X233" s="4">
        <v>0.88</v>
      </c>
      <c r="Y233" s="4">
        <v>0.63</v>
      </c>
      <c r="Z233" s="4">
        <v>0.28000000000000003</v>
      </c>
      <c r="AA233" s="3">
        <v>54</v>
      </c>
      <c r="AB233" s="3">
        <v>39</v>
      </c>
      <c r="AC233" s="5">
        <v>4.0999999999999996</v>
      </c>
      <c r="AD233" s="4">
        <v>1</v>
      </c>
      <c r="AE233" s="4">
        <v>0.82</v>
      </c>
      <c r="AF233" s="4">
        <v>0.72</v>
      </c>
      <c r="AG233" s="4">
        <v>0.18</v>
      </c>
      <c r="AH233" s="4">
        <v>0.84</v>
      </c>
      <c r="AI233" s="4">
        <v>0.49</v>
      </c>
      <c r="AJ233" t="s">
        <v>72</v>
      </c>
      <c r="AK233" t="s">
        <v>62</v>
      </c>
      <c r="AL233" t="s">
        <v>62</v>
      </c>
      <c r="AM233" t="s">
        <v>104</v>
      </c>
      <c r="AN233" t="s">
        <v>97</v>
      </c>
      <c r="AO233" t="s">
        <v>74</v>
      </c>
      <c r="AP233" t="s">
        <v>75</v>
      </c>
    </row>
    <row r="234" spans="1:42" x14ac:dyDescent="0.25">
      <c r="A234" t="str">
        <f>HYPERLINK("HTTP://10.0.1.74/krs/457/detail","/krs/457")</f>
        <v>/krs/457</v>
      </c>
      <c r="B234">
        <v>457</v>
      </c>
      <c r="C234" t="s">
        <v>93</v>
      </c>
      <c r="D234" t="s">
        <v>310</v>
      </c>
      <c r="E234" t="s">
        <v>68</v>
      </c>
      <c r="F234" t="s">
        <v>327</v>
      </c>
      <c r="G234" s="1">
        <v>43223</v>
      </c>
      <c r="H234" t="s">
        <v>210</v>
      </c>
      <c r="I234" t="s">
        <v>51</v>
      </c>
      <c r="J234" t="s">
        <v>328</v>
      </c>
      <c r="K234" s="3">
        <v>713</v>
      </c>
      <c r="L234" s="3">
        <v>211</v>
      </c>
      <c r="M234" s="3">
        <v>924</v>
      </c>
      <c r="N234" s="4">
        <v>0.77</v>
      </c>
      <c r="O234" s="3">
        <v>65</v>
      </c>
      <c r="P234" s="3"/>
      <c r="Q234" s="3">
        <v>49</v>
      </c>
      <c r="R234" s="3">
        <v>65</v>
      </c>
      <c r="S234" s="5">
        <v>4.0999999999999996</v>
      </c>
      <c r="T234" s="5">
        <v>4.0999999999999996</v>
      </c>
      <c r="U234" s="4">
        <v>0.81</v>
      </c>
      <c r="V234" s="4">
        <v>0.77</v>
      </c>
      <c r="W234" s="4">
        <v>1</v>
      </c>
      <c r="X234" s="4">
        <v>0.95</v>
      </c>
      <c r="Y234" s="4">
        <v>0.75</v>
      </c>
      <c r="Z234" s="4">
        <v>0.23</v>
      </c>
      <c r="AA234" s="3">
        <v>62</v>
      </c>
      <c r="AB234" s="3">
        <v>45</v>
      </c>
      <c r="AC234" s="5">
        <v>4</v>
      </c>
      <c r="AD234" s="4">
        <v>1</v>
      </c>
      <c r="AE234" s="4">
        <v>0.81</v>
      </c>
      <c r="AF234" s="4">
        <v>0.73</v>
      </c>
      <c r="AG234" s="4">
        <v>0.19</v>
      </c>
      <c r="AH234" s="4">
        <v>0.79</v>
      </c>
      <c r="AI234" s="4">
        <v>0.68</v>
      </c>
      <c r="AJ234" t="s">
        <v>72</v>
      </c>
      <c r="AK234" t="s">
        <v>62</v>
      </c>
      <c r="AL234" t="s">
        <v>62</v>
      </c>
      <c r="AM234" t="s">
        <v>63</v>
      </c>
      <c r="AN234" t="s">
        <v>97</v>
      </c>
      <c r="AO234" t="s">
        <v>79</v>
      </c>
      <c r="AP234" t="s">
        <v>66</v>
      </c>
    </row>
    <row r="235" spans="1:42" x14ac:dyDescent="0.25">
      <c r="A235" t="str">
        <f>HYPERLINK("HTTP://10.0.1.74/krs/458/detail","/krs/458")</f>
        <v>/krs/458</v>
      </c>
      <c r="B235">
        <v>458</v>
      </c>
      <c r="C235" t="s">
        <v>309</v>
      </c>
      <c r="D235" t="s">
        <v>310</v>
      </c>
      <c r="E235" t="s">
        <v>143</v>
      </c>
      <c r="F235" t="s">
        <v>206</v>
      </c>
      <c r="G235" s="1">
        <v>43238</v>
      </c>
      <c r="H235" t="s">
        <v>231</v>
      </c>
      <c r="I235" t="s">
        <v>51</v>
      </c>
      <c r="K235" s="3">
        <v>1549</v>
      </c>
      <c r="L235" s="3">
        <v>769</v>
      </c>
      <c r="M235" s="3">
        <v>2318</v>
      </c>
      <c r="N235" s="4">
        <v>0.67</v>
      </c>
      <c r="O235" s="3">
        <v>116</v>
      </c>
      <c r="P235" s="3"/>
      <c r="Q235" s="3">
        <v>70</v>
      </c>
      <c r="R235" s="3">
        <v>116</v>
      </c>
      <c r="S235" s="5">
        <v>3.6</v>
      </c>
      <c r="T235" s="5">
        <v>3.7</v>
      </c>
      <c r="U235" s="4">
        <v>0.74</v>
      </c>
      <c r="V235" s="4">
        <v>0.67</v>
      </c>
      <c r="W235" s="4">
        <v>0.97</v>
      </c>
      <c r="X235" s="4">
        <v>0.79</v>
      </c>
      <c r="Y235" s="4">
        <v>0.6</v>
      </c>
      <c r="Z235" s="4">
        <v>0.33</v>
      </c>
      <c r="AA235" s="3">
        <v>116</v>
      </c>
      <c r="AB235" s="3">
        <v>105</v>
      </c>
      <c r="AC235" s="5">
        <v>4.3</v>
      </c>
      <c r="AD235" s="4">
        <v>1</v>
      </c>
      <c r="AE235" s="4">
        <v>0.85</v>
      </c>
      <c r="AF235" s="4">
        <v>0.91</v>
      </c>
      <c r="AG235" s="4">
        <v>0.15</v>
      </c>
      <c r="AH235" s="4">
        <v>0.66</v>
      </c>
      <c r="AI235" s="4">
        <v>0.63</v>
      </c>
      <c r="AJ235" t="s">
        <v>72</v>
      </c>
      <c r="AK235" t="s">
        <v>61</v>
      </c>
      <c r="AL235" t="s">
        <v>62</v>
      </c>
      <c r="AM235" t="s">
        <v>73</v>
      </c>
      <c r="AN235" t="s">
        <v>64</v>
      </c>
      <c r="AO235" t="s">
        <v>74</v>
      </c>
      <c r="AP235" t="s">
        <v>75</v>
      </c>
    </row>
    <row r="236" spans="1:42" x14ac:dyDescent="0.25">
      <c r="A236" t="str">
        <f>HYPERLINK("HTTP://10.0.1.74/krs/459/detail","/krs/459")</f>
        <v>/krs/459</v>
      </c>
      <c r="B236">
        <v>459</v>
      </c>
      <c r="C236" t="s">
        <v>309</v>
      </c>
      <c r="D236" t="s">
        <v>310</v>
      </c>
      <c r="E236" t="s">
        <v>143</v>
      </c>
      <c r="F236" t="s">
        <v>126</v>
      </c>
      <c r="G236" s="1">
        <v>43235</v>
      </c>
      <c r="H236" t="s">
        <v>231</v>
      </c>
      <c r="I236" t="s">
        <v>51</v>
      </c>
      <c r="K236" s="3">
        <v>1480</v>
      </c>
      <c r="L236" s="3">
        <v>444</v>
      </c>
      <c r="M236" s="3">
        <v>1924</v>
      </c>
      <c r="N236" s="4">
        <v>0.77</v>
      </c>
      <c r="O236" s="3">
        <v>74</v>
      </c>
      <c r="P236" s="3"/>
      <c r="Q236" s="3">
        <v>54</v>
      </c>
      <c r="R236" s="3">
        <v>74</v>
      </c>
      <c r="S236" s="5">
        <v>3.9</v>
      </c>
      <c r="T236" s="5">
        <v>3.9</v>
      </c>
      <c r="U236" s="4">
        <v>0.78</v>
      </c>
      <c r="V236" s="4">
        <v>0.77</v>
      </c>
      <c r="W236" s="4">
        <v>1</v>
      </c>
      <c r="X236" s="4">
        <v>0.93</v>
      </c>
      <c r="Y236" s="4">
        <v>0.73</v>
      </c>
      <c r="Z236" s="4">
        <v>0.23</v>
      </c>
      <c r="AA236" s="3">
        <v>47</v>
      </c>
      <c r="AB236" s="3">
        <v>32</v>
      </c>
      <c r="AC236" s="5">
        <v>4.2</v>
      </c>
      <c r="AD236" s="4">
        <v>1</v>
      </c>
      <c r="AE236" s="4">
        <v>0.83</v>
      </c>
      <c r="AF236" s="4">
        <v>0.68</v>
      </c>
      <c r="AG236" s="4">
        <v>0.17</v>
      </c>
      <c r="AH236" s="4">
        <v>0.77</v>
      </c>
      <c r="AI236" s="4">
        <v>0.67</v>
      </c>
      <c r="AJ236" t="s">
        <v>72</v>
      </c>
      <c r="AK236" t="s">
        <v>62</v>
      </c>
      <c r="AL236" t="s">
        <v>62</v>
      </c>
      <c r="AM236" t="s">
        <v>104</v>
      </c>
      <c r="AN236" t="s">
        <v>97</v>
      </c>
      <c r="AO236" t="s">
        <v>65</v>
      </c>
      <c r="AP236" t="s">
        <v>66</v>
      </c>
    </row>
    <row r="237" spans="1:42" x14ac:dyDescent="0.25">
      <c r="A237" t="str">
        <f>HYPERLINK("HTTP://10.0.1.74/krs/460/detail","/krs/460")</f>
        <v>/krs/460</v>
      </c>
      <c r="B237">
        <v>460</v>
      </c>
      <c r="C237" t="s">
        <v>103</v>
      </c>
      <c r="D237" t="s">
        <v>310</v>
      </c>
      <c r="E237" t="s">
        <v>68</v>
      </c>
      <c r="F237" t="s">
        <v>211</v>
      </c>
      <c r="G237" s="1">
        <v>43224</v>
      </c>
      <c r="H237" t="s">
        <v>70</v>
      </c>
      <c r="I237" t="s">
        <v>51</v>
      </c>
      <c r="J237" t="s">
        <v>329</v>
      </c>
      <c r="K237" s="3">
        <v>210</v>
      </c>
      <c r="L237" s="3">
        <v>50</v>
      </c>
      <c r="M237" s="3">
        <v>260</v>
      </c>
      <c r="N237" s="4">
        <v>0.81</v>
      </c>
      <c r="O237" s="3">
        <v>13</v>
      </c>
      <c r="P237" s="3"/>
      <c r="Q237" s="3">
        <v>12</v>
      </c>
      <c r="R237" s="3">
        <v>13</v>
      </c>
      <c r="S237" s="5">
        <v>4.3</v>
      </c>
      <c r="T237" s="5">
        <v>4.3</v>
      </c>
      <c r="U237" s="4">
        <v>0.86</v>
      </c>
      <c r="V237" s="4">
        <v>0.81</v>
      </c>
      <c r="W237" s="4">
        <v>0.92</v>
      </c>
      <c r="X237" s="4">
        <v>1.08</v>
      </c>
      <c r="Y237" s="4">
        <v>0.92</v>
      </c>
      <c r="Z237" s="4">
        <v>0.19</v>
      </c>
      <c r="AA237" s="3">
        <v>6</v>
      </c>
      <c r="AB237" s="3">
        <v>3</v>
      </c>
      <c r="AC237" s="5">
        <v>3.8</v>
      </c>
      <c r="AD237" s="4">
        <v>1</v>
      </c>
      <c r="AE237" s="4">
        <v>0.75</v>
      </c>
      <c r="AF237" s="4">
        <v>0.5</v>
      </c>
      <c r="AG237" s="4">
        <v>0.25</v>
      </c>
      <c r="AH237" s="4">
        <v>0.81</v>
      </c>
      <c r="AI237" s="4">
        <v>0</v>
      </c>
      <c r="AJ237" t="s">
        <v>72</v>
      </c>
      <c r="AK237" t="s">
        <v>62</v>
      </c>
      <c r="AL237" t="s">
        <v>62</v>
      </c>
      <c r="AM237" t="s">
        <v>63</v>
      </c>
      <c r="AN237" t="s">
        <v>64</v>
      </c>
      <c r="AO237" t="s">
        <v>79</v>
      </c>
      <c r="AP237" t="s">
        <v>66</v>
      </c>
    </row>
    <row r="238" spans="1:42" x14ac:dyDescent="0.25">
      <c r="A238" t="str">
        <f>HYPERLINK("HTTP://10.0.1.74/krs/463/detail","/krs/463")</f>
        <v>/krs/463</v>
      </c>
      <c r="B238">
        <v>463</v>
      </c>
      <c r="C238" t="s">
        <v>330</v>
      </c>
      <c r="D238" t="s">
        <v>310</v>
      </c>
      <c r="E238" t="s">
        <v>68</v>
      </c>
      <c r="F238" t="s">
        <v>238</v>
      </c>
      <c r="G238" s="1">
        <v>43205.875439814816</v>
      </c>
      <c r="H238" t="s">
        <v>224</v>
      </c>
      <c r="I238" t="s">
        <v>51</v>
      </c>
      <c r="K238" s="3">
        <v>1348</v>
      </c>
      <c r="L238" s="3">
        <v>758</v>
      </c>
      <c r="M238" s="3">
        <v>2106</v>
      </c>
      <c r="N238" s="4">
        <v>0.64</v>
      </c>
      <c r="O238" s="3">
        <v>81</v>
      </c>
      <c r="P238" s="3"/>
      <c r="Q238" s="3">
        <v>31</v>
      </c>
      <c r="R238" s="3">
        <v>81</v>
      </c>
      <c r="S238" s="5">
        <v>3.2</v>
      </c>
      <c r="T238" s="5">
        <v>3.2</v>
      </c>
      <c r="U238" s="4">
        <v>0.64</v>
      </c>
      <c r="V238" s="4">
        <v>0.64</v>
      </c>
      <c r="W238" s="4">
        <v>0.8</v>
      </c>
      <c r="X238" s="4">
        <v>0.84</v>
      </c>
      <c r="Y238" s="4">
        <v>0.38</v>
      </c>
      <c r="Z238" s="4">
        <v>0.36</v>
      </c>
      <c r="AA238" s="3">
        <v>74</v>
      </c>
      <c r="AB238" s="3">
        <v>34</v>
      </c>
      <c r="AC238" s="5">
        <v>3.8</v>
      </c>
      <c r="AD238" s="4">
        <v>1</v>
      </c>
      <c r="AE238" s="4">
        <v>0.76</v>
      </c>
      <c r="AF238" s="4">
        <v>0.46</v>
      </c>
      <c r="AG238" s="4">
        <v>0.24</v>
      </c>
      <c r="AH238" s="4">
        <v>0.7</v>
      </c>
      <c r="AI238" s="4">
        <v>0.43</v>
      </c>
      <c r="AJ238" t="s">
        <v>72</v>
      </c>
      <c r="AK238" t="s">
        <v>61</v>
      </c>
      <c r="AL238" t="s">
        <v>62</v>
      </c>
      <c r="AM238" t="s">
        <v>73</v>
      </c>
      <c r="AN238" t="s">
        <v>97</v>
      </c>
      <c r="AO238" t="s">
        <v>74</v>
      </c>
      <c r="AP238" t="s">
        <v>75</v>
      </c>
    </row>
    <row r="239" spans="1:42" x14ac:dyDescent="0.25">
      <c r="A239" t="str">
        <f>HYPERLINK("HTTP://10.0.1.74/krs/464/detail","/krs/464")</f>
        <v>/krs/464</v>
      </c>
      <c r="B239">
        <v>464</v>
      </c>
      <c r="C239" t="s">
        <v>331</v>
      </c>
      <c r="D239" t="s">
        <v>81</v>
      </c>
      <c r="E239" t="s">
        <v>54</v>
      </c>
      <c r="F239" t="s">
        <v>176</v>
      </c>
      <c r="G239" s="1">
        <v>43200</v>
      </c>
      <c r="H239" t="s">
        <v>121</v>
      </c>
      <c r="I239" t="s">
        <v>51</v>
      </c>
      <c r="J239" t="s">
        <v>332</v>
      </c>
      <c r="K239" s="3">
        <v>176</v>
      </c>
      <c r="L239" s="3">
        <v>31</v>
      </c>
      <c r="M239" s="3">
        <v>207</v>
      </c>
      <c r="N239" s="4">
        <v>0.85</v>
      </c>
      <c r="O239" s="3">
        <v>23</v>
      </c>
      <c r="P239" s="3"/>
      <c r="Q239" s="3">
        <v>20</v>
      </c>
      <c r="R239" s="3">
        <v>23</v>
      </c>
      <c r="S239" s="5">
        <v>4.4000000000000004</v>
      </c>
      <c r="T239" s="5">
        <v>4.5</v>
      </c>
      <c r="U239" s="4">
        <v>0.9</v>
      </c>
      <c r="V239" s="4">
        <v>0.85</v>
      </c>
      <c r="W239" s="4">
        <v>1</v>
      </c>
      <c r="X239" s="4">
        <v>0</v>
      </c>
      <c r="Y239" s="4">
        <v>0.87</v>
      </c>
      <c r="Z239" s="4">
        <v>0.15</v>
      </c>
      <c r="AA239" s="3">
        <v>0</v>
      </c>
      <c r="AB239" s="3">
        <v>0</v>
      </c>
      <c r="AC239" s="5">
        <v>0</v>
      </c>
      <c r="AD239" s="4">
        <v>0</v>
      </c>
      <c r="AE239" s="4">
        <v>0</v>
      </c>
      <c r="AF239" s="4">
        <v>0</v>
      </c>
      <c r="AG239" s="4">
        <v>1</v>
      </c>
      <c r="AH239" s="4">
        <v>0.85</v>
      </c>
      <c r="AI239" s="4">
        <v>0.87</v>
      </c>
      <c r="AJ239" t="s">
        <v>72</v>
      </c>
      <c r="AK239" t="s">
        <v>62</v>
      </c>
      <c r="AL239" t="s">
        <v>62</v>
      </c>
      <c r="AM239" t="s">
        <v>63</v>
      </c>
      <c r="AN239" t="s">
        <v>64</v>
      </c>
      <c r="AO239" t="s">
        <v>79</v>
      </c>
      <c r="AP239" t="s">
        <v>75</v>
      </c>
    </row>
    <row r="240" spans="1:42" x14ac:dyDescent="0.25">
      <c r="A240" t="str">
        <f>HYPERLINK("HTTP://10.0.1.74/krs/465/detail","/krs/465")</f>
        <v>/krs/465</v>
      </c>
      <c r="B240">
        <v>465</v>
      </c>
      <c r="C240" t="s">
        <v>333</v>
      </c>
      <c r="D240" t="s">
        <v>81</v>
      </c>
      <c r="E240" t="s">
        <v>54</v>
      </c>
      <c r="F240" t="s">
        <v>176</v>
      </c>
      <c r="G240" s="1">
        <v>43130</v>
      </c>
      <c r="H240" t="s">
        <v>121</v>
      </c>
      <c r="I240" t="s">
        <v>51</v>
      </c>
      <c r="J240" t="s">
        <v>334</v>
      </c>
      <c r="K240" s="3">
        <v>86</v>
      </c>
      <c r="L240" s="3">
        <v>40</v>
      </c>
      <c r="M240" s="3">
        <v>126</v>
      </c>
      <c r="N240" s="4">
        <v>0.68</v>
      </c>
      <c r="O240" s="3">
        <v>21</v>
      </c>
      <c r="P240" s="3"/>
      <c r="Q240" s="3">
        <v>14</v>
      </c>
      <c r="R240" s="3">
        <v>21</v>
      </c>
      <c r="S240" s="5">
        <v>3.4</v>
      </c>
      <c r="T240" s="5">
        <v>3.5</v>
      </c>
      <c r="U240" s="4">
        <v>0.7</v>
      </c>
      <c r="V240" s="4">
        <v>0.68</v>
      </c>
      <c r="W240" s="4">
        <v>0.81</v>
      </c>
      <c r="X240" s="4">
        <v>0.76</v>
      </c>
      <c r="Y240" s="4">
        <v>0.67</v>
      </c>
      <c r="Z240" s="4">
        <v>0.32</v>
      </c>
      <c r="AA240" s="3">
        <v>12</v>
      </c>
      <c r="AB240" s="3">
        <v>12</v>
      </c>
      <c r="AC240" s="5">
        <v>4.5</v>
      </c>
      <c r="AD240" s="4">
        <v>1</v>
      </c>
      <c r="AE240" s="4">
        <v>0.9</v>
      </c>
      <c r="AF240" s="4">
        <v>1</v>
      </c>
      <c r="AG240" s="4">
        <v>0.1</v>
      </c>
      <c r="AH240" s="4">
        <v>0.74</v>
      </c>
      <c r="AI240" s="4">
        <v>0.56999999999999995</v>
      </c>
      <c r="AJ240" t="s">
        <v>72</v>
      </c>
      <c r="AK240" t="s">
        <v>61</v>
      </c>
      <c r="AL240" t="s">
        <v>62</v>
      </c>
      <c r="AM240" t="s">
        <v>73</v>
      </c>
      <c r="AN240" t="s">
        <v>64</v>
      </c>
      <c r="AO240" t="s">
        <v>74</v>
      </c>
      <c r="AP240" t="s">
        <v>75</v>
      </c>
    </row>
    <row r="241" spans="1:42" x14ac:dyDescent="0.25">
      <c r="A241" t="str">
        <f>HYPERLINK("HTTP://10.0.1.74/krs/466/detail","/krs/466")</f>
        <v>/krs/466</v>
      </c>
      <c r="B241">
        <v>466</v>
      </c>
      <c r="C241" t="s">
        <v>46</v>
      </c>
      <c r="D241" t="s">
        <v>310</v>
      </c>
      <c r="E241" t="s">
        <v>157</v>
      </c>
      <c r="F241" t="s">
        <v>284</v>
      </c>
      <c r="G241" s="1">
        <v>43236</v>
      </c>
      <c r="H241" t="s">
        <v>243</v>
      </c>
      <c r="I241" t="s">
        <v>51</v>
      </c>
      <c r="K241" s="3">
        <v>930</v>
      </c>
      <c r="L241" s="3">
        <v>402</v>
      </c>
      <c r="M241" s="3">
        <v>1332</v>
      </c>
      <c r="N241" s="4">
        <v>0.7</v>
      </c>
      <c r="O241" s="3">
        <v>111</v>
      </c>
      <c r="P241" s="3"/>
      <c r="Q241" s="3">
        <v>86</v>
      </c>
      <c r="R241" s="3">
        <v>111</v>
      </c>
      <c r="S241" s="5">
        <v>3.6</v>
      </c>
      <c r="T241" s="5">
        <v>3.8</v>
      </c>
      <c r="U241" s="4">
        <v>0.76</v>
      </c>
      <c r="V241" s="4">
        <v>0.7</v>
      </c>
      <c r="W241" s="4">
        <v>0.88</v>
      </c>
      <c r="X241" s="4">
        <v>0</v>
      </c>
      <c r="Y241" s="4">
        <v>0.77</v>
      </c>
      <c r="Z241" s="4">
        <v>0.3</v>
      </c>
      <c r="AA241" s="3">
        <v>0</v>
      </c>
      <c r="AB241" s="3">
        <v>0</v>
      </c>
      <c r="AC241" s="5">
        <v>0</v>
      </c>
      <c r="AD241" s="4">
        <v>0</v>
      </c>
      <c r="AE241" s="4">
        <v>0</v>
      </c>
      <c r="AF241" s="4">
        <v>0</v>
      </c>
      <c r="AG241" s="4">
        <v>1</v>
      </c>
      <c r="AH241" s="4">
        <v>0.66</v>
      </c>
      <c r="AI241" s="4">
        <v>0.75</v>
      </c>
      <c r="AJ241" t="s">
        <v>72</v>
      </c>
      <c r="AK241" t="s">
        <v>62</v>
      </c>
      <c r="AL241" t="s">
        <v>62</v>
      </c>
      <c r="AM241" t="s">
        <v>63</v>
      </c>
      <c r="AN241" t="s">
        <v>64</v>
      </c>
      <c r="AO241" t="s">
        <v>79</v>
      </c>
      <c r="AP241" t="s">
        <v>75</v>
      </c>
    </row>
    <row r="242" spans="1:42" x14ac:dyDescent="0.25">
      <c r="A242" t="str">
        <f>HYPERLINK("HTTP://10.0.1.74/krs/468/detail","/krs/468")</f>
        <v>/krs/468</v>
      </c>
      <c r="B242">
        <v>468</v>
      </c>
      <c r="C242" t="s">
        <v>46</v>
      </c>
      <c r="D242" t="s">
        <v>310</v>
      </c>
      <c r="E242" t="s">
        <v>157</v>
      </c>
      <c r="F242" t="s">
        <v>206</v>
      </c>
      <c r="G242" s="1">
        <v>43232</v>
      </c>
      <c r="H242" t="s">
        <v>243</v>
      </c>
      <c r="I242" t="s">
        <v>51</v>
      </c>
      <c r="K242" s="3">
        <v>1139</v>
      </c>
      <c r="L242" s="3">
        <v>646</v>
      </c>
      <c r="M242" s="3">
        <v>1785</v>
      </c>
      <c r="N242" s="4">
        <v>0.64</v>
      </c>
      <c r="O242" s="3">
        <v>117</v>
      </c>
      <c r="P242" s="3"/>
      <c r="Q242" s="3">
        <v>65</v>
      </c>
      <c r="R242" s="3">
        <v>117</v>
      </c>
      <c r="S242" s="5">
        <v>3.3</v>
      </c>
      <c r="T242" s="5">
        <v>3.5</v>
      </c>
      <c r="U242" s="4">
        <v>0.71</v>
      </c>
      <c r="V242" s="4">
        <v>0.64</v>
      </c>
      <c r="W242" s="4">
        <v>0.88</v>
      </c>
      <c r="X242" s="4">
        <v>0.71</v>
      </c>
      <c r="Y242" s="4">
        <v>0.56000000000000005</v>
      </c>
      <c r="Z242" s="4">
        <v>0.36</v>
      </c>
      <c r="AA242" s="3">
        <v>113</v>
      </c>
      <c r="AB242" s="3">
        <v>107</v>
      </c>
      <c r="AC242" s="5">
        <v>4.5</v>
      </c>
      <c r="AD242" s="4">
        <v>1</v>
      </c>
      <c r="AE242" s="4">
        <v>0.9</v>
      </c>
      <c r="AF242" s="4">
        <v>0.95</v>
      </c>
      <c r="AG242" s="4">
        <v>0.1</v>
      </c>
      <c r="AH242" s="4">
        <v>0.72</v>
      </c>
      <c r="AI242" s="4">
        <v>0.53</v>
      </c>
      <c r="AJ242" t="s">
        <v>72</v>
      </c>
      <c r="AK242" t="s">
        <v>61</v>
      </c>
      <c r="AL242" t="s">
        <v>62</v>
      </c>
      <c r="AM242" t="s">
        <v>73</v>
      </c>
      <c r="AN242" t="s">
        <v>64</v>
      </c>
      <c r="AO242" t="s">
        <v>74</v>
      </c>
      <c r="AP242" t="s">
        <v>75</v>
      </c>
    </row>
    <row r="243" spans="1:42" x14ac:dyDescent="0.25">
      <c r="A243" t="str">
        <f>HYPERLINK("HTTP://10.0.1.74/krs/469/detail","/krs/469")</f>
        <v>/krs/469</v>
      </c>
      <c r="B243">
        <v>469</v>
      </c>
      <c r="C243" t="s">
        <v>46</v>
      </c>
      <c r="D243" t="s">
        <v>310</v>
      </c>
      <c r="E243" t="s">
        <v>157</v>
      </c>
      <c r="F243" t="s">
        <v>335</v>
      </c>
      <c r="G243" s="1">
        <v>43236</v>
      </c>
      <c r="H243" t="s">
        <v>243</v>
      </c>
      <c r="I243" t="s">
        <v>51</v>
      </c>
      <c r="K243" s="3">
        <v>1047</v>
      </c>
      <c r="L243" s="3">
        <v>649</v>
      </c>
      <c r="M243" s="3">
        <v>1696</v>
      </c>
      <c r="N243" s="4">
        <v>0.62</v>
      </c>
      <c r="O243" s="3">
        <v>106</v>
      </c>
      <c r="P243" s="3"/>
      <c r="Q243" s="3">
        <v>49</v>
      </c>
      <c r="R243" s="3">
        <v>105</v>
      </c>
      <c r="S243" s="5">
        <v>3.2</v>
      </c>
      <c r="T243" s="5">
        <v>3.4</v>
      </c>
      <c r="U243" s="4">
        <v>0.68</v>
      </c>
      <c r="V243" s="4">
        <v>0.62</v>
      </c>
      <c r="W243" s="4">
        <v>0.8</v>
      </c>
      <c r="X243" s="4">
        <v>0.76</v>
      </c>
      <c r="Y243" s="4">
        <v>0.47</v>
      </c>
      <c r="Z243" s="4">
        <v>0.38</v>
      </c>
      <c r="AA243" s="3">
        <v>98</v>
      </c>
      <c r="AB243" s="3">
        <v>83</v>
      </c>
      <c r="AC243" s="5">
        <v>4.0999999999999996</v>
      </c>
      <c r="AD243" s="4">
        <v>1</v>
      </c>
      <c r="AE243" s="4">
        <v>0.82</v>
      </c>
      <c r="AF243" s="4">
        <v>0.85</v>
      </c>
      <c r="AG243" s="4">
        <v>0.18</v>
      </c>
      <c r="AH243" s="4">
        <v>0.66</v>
      </c>
      <c r="AI243" s="4">
        <v>0.56000000000000005</v>
      </c>
      <c r="AJ243" t="s">
        <v>72</v>
      </c>
      <c r="AK243" t="s">
        <v>61</v>
      </c>
      <c r="AL243" t="s">
        <v>62</v>
      </c>
      <c r="AM243" t="s">
        <v>73</v>
      </c>
      <c r="AN243" t="s">
        <v>64</v>
      </c>
      <c r="AO243" t="s">
        <v>74</v>
      </c>
      <c r="AP243" t="s">
        <v>75</v>
      </c>
    </row>
    <row r="244" spans="1:42" x14ac:dyDescent="0.25">
      <c r="A244" t="str">
        <f>HYPERLINK("HTTP://10.0.1.74/krs/470/detail","/krs/470")</f>
        <v>/krs/470</v>
      </c>
      <c r="B244">
        <v>470</v>
      </c>
      <c r="C244" t="s">
        <v>316</v>
      </c>
      <c r="D244" t="s">
        <v>140</v>
      </c>
      <c r="E244" t="s">
        <v>54</v>
      </c>
      <c r="F244" t="s">
        <v>76</v>
      </c>
      <c r="G244" s="1">
        <v>43206.333831018521</v>
      </c>
      <c r="H244" t="s">
        <v>56</v>
      </c>
      <c r="I244" t="s">
        <v>57</v>
      </c>
      <c r="J244" t="s">
        <v>52</v>
      </c>
      <c r="K244" s="3">
        <v>402</v>
      </c>
      <c r="L244" s="3">
        <v>73</v>
      </c>
      <c r="M244" s="3">
        <v>475</v>
      </c>
      <c r="N244" s="4">
        <v>0.85</v>
      </c>
      <c r="O244" s="3">
        <v>25</v>
      </c>
      <c r="P244" s="3"/>
      <c r="Q244" s="3">
        <v>23</v>
      </c>
      <c r="R244" s="3">
        <v>25</v>
      </c>
      <c r="S244" s="5">
        <v>3.9</v>
      </c>
      <c r="T244" s="5">
        <v>3.9</v>
      </c>
      <c r="U244" s="4">
        <v>0.78</v>
      </c>
      <c r="V244" s="4">
        <v>0.85</v>
      </c>
      <c r="W244" s="4">
        <v>1</v>
      </c>
      <c r="X244" s="4">
        <v>0</v>
      </c>
      <c r="Y244" s="4">
        <v>0.92</v>
      </c>
      <c r="Z244" s="4">
        <v>0.15</v>
      </c>
      <c r="AA244" s="3">
        <v>0</v>
      </c>
      <c r="AB244" s="3">
        <v>0</v>
      </c>
      <c r="AC244" s="5">
        <v>0</v>
      </c>
      <c r="AD244" s="4">
        <v>0</v>
      </c>
      <c r="AE244" s="4">
        <v>0</v>
      </c>
      <c r="AF244" s="4">
        <v>0</v>
      </c>
      <c r="AG244" s="4">
        <v>1</v>
      </c>
      <c r="AH244" s="4">
        <v>0.89</v>
      </c>
      <c r="AI244" s="4">
        <v>0</v>
      </c>
      <c r="AJ244" t="s">
        <v>72</v>
      </c>
      <c r="AK244" t="s">
        <v>62</v>
      </c>
      <c r="AL244" t="s">
        <v>62</v>
      </c>
      <c r="AM244" t="s">
        <v>63</v>
      </c>
      <c r="AN244" t="s">
        <v>64</v>
      </c>
      <c r="AO244" t="s">
        <v>79</v>
      </c>
      <c r="AP244" t="s">
        <v>75</v>
      </c>
    </row>
    <row r="245" spans="1:42" x14ac:dyDescent="0.25">
      <c r="A245" t="str">
        <f>HYPERLINK("HTTP://10.0.1.74/krs/471/detail","/krs/471")</f>
        <v>/krs/471</v>
      </c>
      <c r="B245">
        <v>471</v>
      </c>
      <c r="C245" t="s">
        <v>84</v>
      </c>
      <c r="D245" t="s">
        <v>310</v>
      </c>
      <c r="E245" t="s">
        <v>157</v>
      </c>
      <c r="F245" t="s">
        <v>95</v>
      </c>
      <c r="G245" s="1">
        <v>43238</v>
      </c>
      <c r="H245" t="s">
        <v>243</v>
      </c>
      <c r="I245" t="s">
        <v>51</v>
      </c>
      <c r="K245" s="3">
        <v>795</v>
      </c>
      <c r="L245" s="3">
        <v>355</v>
      </c>
      <c r="M245" s="3">
        <v>1150</v>
      </c>
      <c r="N245" s="4">
        <v>0.69</v>
      </c>
      <c r="O245" s="3">
        <v>115</v>
      </c>
      <c r="P245" s="3"/>
      <c r="Q245" s="3">
        <v>68</v>
      </c>
      <c r="R245" s="3">
        <v>115</v>
      </c>
      <c r="S245" s="5">
        <v>3.7</v>
      </c>
      <c r="T245" s="5">
        <v>3.7</v>
      </c>
      <c r="U245" s="4">
        <v>0.75</v>
      </c>
      <c r="V245" s="4">
        <v>0.69</v>
      </c>
      <c r="W245" s="4">
        <v>0.87</v>
      </c>
      <c r="X245" s="4">
        <v>0.82</v>
      </c>
      <c r="Y245" s="4">
        <v>0.59</v>
      </c>
      <c r="Z245" s="4">
        <v>0.31</v>
      </c>
      <c r="AA245" s="3">
        <v>84</v>
      </c>
      <c r="AB245" s="3">
        <v>68</v>
      </c>
      <c r="AC245" s="5">
        <v>4.2</v>
      </c>
      <c r="AD245" s="4">
        <v>1</v>
      </c>
      <c r="AE245" s="4">
        <v>0.84</v>
      </c>
      <c r="AF245" s="4">
        <v>0.81</v>
      </c>
      <c r="AG245" s="4">
        <v>0.16</v>
      </c>
      <c r="AH245" s="4">
        <v>0.71</v>
      </c>
      <c r="AI245" s="4">
        <v>0.68</v>
      </c>
      <c r="AJ245" t="s">
        <v>72</v>
      </c>
      <c r="AK245" t="s">
        <v>61</v>
      </c>
      <c r="AL245" t="s">
        <v>62</v>
      </c>
      <c r="AM245" t="s">
        <v>73</v>
      </c>
      <c r="AN245" t="s">
        <v>64</v>
      </c>
      <c r="AO245" t="s">
        <v>74</v>
      </c>
      <c r="AP245" t="s">
        <v>75</v>
      </c>
    </row>
    <row r="246" spans="1:42" x14ac:dyDescent="0.25">
      <c r="A246" t="str">
        <f>HYPERLINK("HTTP://10.0.1.74/krs/472/detail","/krs/472")</f>
        <v>/krs/472</v>
      </c>
      <c r="B246">
        <v>472</v>
      </c>
      <c r="C246" t="s">
        <v>93</v>
      </c>
      <c r="D246" t="s">
        <v>310</v>
      </c>
      <c r="E246" t="s">
        <v>68</v>
      </c>
      <c r="F246" t="s">
        <v>336</v>
      </c>
      <c r="G246" s="1">
        <v>43234</v>
      </c>
      <c r="H246" t="s">
        <v>269</v>
      </c>
      <c r="I246" t="s">
        <v>57</v>
      </c>
      <c r="J246" t="s">
        <v>337</v>
      </c>
      <c r="K246" s="3">
        <v>559</v>
      </c>
      <c r="L246" s="3">
        <v>215</v>
      </c>
      <c r="M246" s="3">
        <v>774</v>
      </c>
      <c r="N246" s="4">
        <v>0.72</v>
      </c>
      <c r="O246" s="3">
        <v>43</v>
      </c>
      <c r="P246" s="3"/>
      <c r="Q246" s="3">
        <v>31</v>
      </c>
      <c r="R246" s="3">
        <v>43</v>
      </c>
      <c r="S246" s="5">
        <v>3.7</v>
      </c>
      <c r="T246" s="5">
        <v>3.7</v>
      </c>
      <c r="U246" s="4">
        <v>0.74</v>
      </c>
      <c r="V246" s="4">
        <v>0.72</v>
      </c>
      <c r="W246" s="4">
        <v>0.98</v>
      </c>
      <c r="X246" s="4">
        <v>0.89</v>
      </c>
      <c r="Y246" s="4">
        <v>0.72</v>
      </c>
      <c r="Z246" s="4">
        <v>0.28000000000000003</v>
      </c>
      <c r="AA246" s="3">
        <v>23</v>
      </c>
      <c r="AB246" s="3">
        <v>17</v>
      </c>
      <c r="AC246" s="5">
        <v>4.0999999999999996</v>
      </c>
      <c r="AD246" s="4">
        <v>1</v>
      </c>
      <c r="AE246" s="4">
        <v>0.81</v>
      </c>
      <c r="AF246" s="4">
        <v>0.74</v>
      </c>
      <c r="AG246" s="4">
        <v>0.19</v>
      </c>
      <c r="AH246" s="4">
        <v>0.86</v>
      </c>
      <c r="AI246" s="4">
        <v>0.67</v>
      </c>
      <c r="AJ246" t="s">
        <v>72</v>
      </c>
      <c r="AK246" t="s">
        <v>62</v>
      </c>
      <c r="AL246" t="s">
        <v>62</v>
      </c>
      <c r="AM246" t="s">
        <v>104</v>
      </c>
      <c r="AN246" t="s">
        <v>97</v>
      </c>
      <c r="AO246" t="s">
        <v>65</v>
      </c>
      <c r="AP246" t="s">
        <v>75</v>
      </c>
    </row>
    <row r="247" spans="1:42" x14ac:dyDescent="0.25">
      <c r="A247" t="str">
        <f>HYPERLINK("HTTP://10.0.1.74/krs/473/detail","/krs/473")</f>
        <v>/krs/473</v>
      </c>
      <c r="B247">
        <v>473</v>
      </c>
      <c r="C247" t="s">
        <v>109</v>
      </c>
      <c r="D247" t="s">
        <v>310</v>
      </c>
      <c r="E247" t="s">
        <v>68</v>
      </c>
      <c r="F247" t="s">
        <v>270</v>
      </c>
      <c r="G247" s="1">
        <v>43228</v>
      </c>
      <c r="H247" t="s">
        <v>269</v>
      </c>
      <c r="I247" t="s">
        <v>57</v>
      </c>
      <c r="J247" t="s">
        <v>338</v>
      </c>
      <c r="K247" s="3">
        <v>326</v>
      </c>
      <c r="L247" s="3">
        <v>154</v>
      </c>
      <c r="M247" s="3">
        <v>480</v>
      </c>
      <c r="N247" s="4">
        <v>0.68</v>
      </c>
      <c r="O247" s="3">
        <v>32</v>
      </c>
      <c r="P247" s="3"/>
      <c r="Q247" s="3">
        <v>19</v>
      </c>
      <c r="R247" s="3">
        <v>32</v>
      </c>
      <c r="S247" s="5">
        <v>3.5</v>
      </c>
      <c r="T247" s="5">
        <v>3.5</v>
      </c>
      <c r="U247" s="4">
        <v>0.69</v>
      </c>
      <c r="V247" s="4">
        <v>0.68</v>
      </c>
      <c r="W247" s="4">
        <v>0.75</v>
      </c>
      <c r="X247" s="4">
        <v>0.89</v>
      </c>
      <c r="Y247" s="4">
        <v>0.59</v>
      </c>
      <c r="Z247" s="4">
        <v>0.32</v>
      </c>
      <c r="AA247" s="3">
        <v>32</v>
      </c>
      <c r="AB247" s="3">
        <v>17</v>
      </c>
      <c r="AC247" s="5">
        <v>3.8</v>
      </c>
      <c r="AD247" s="4">
        <v>1</v>
      </c>
      <c r="AE247" s="4">
        <v>0.76</v>
      </c>
      <c r="AF247" s="4">
        <v>0.53</v>
      </c>
      <c r="AG247" s="4">
        <v>0.24</v>
      </c>
      <c r="AH247" s="4">
        <v>0.79</v>
      </c>
      <c r="AI247" s="4">
        <v>0.56000000000000005</v>
      </c>
      <c r="AJ247" t="s">
        <v>72</v>
      </c>
      <c r="AK247" t="s">
        <v>61</v>
      </c>
      <c r="AL247" t="s">
        <v>62</v>
      </c>
      <c r="AM247" t="s">
        <v>104</v>
      </c>
      <c r="AN247" t="s">
        <v>97</v>
      </c>
      <c r="AO247" t="s">
        <v>65</v>
      </c>
      <c r="AP247" t="s">
        <v>75</v>
      </c>
    </row>
    <row r="248" spans="1:42" x14ac:dyDescent="0.25">
      <c r="A248" t="str">
        <f>HYPERLINK("HTTP://10.0.1.74/krs/474/detail","/krs/474")</f>
        <v>/krs/474</v>
      </c>
      <c r="B248">
        <v>474</v>
      </c>
      <c r="C248" t="s">
        <v>46</v>
      </c>
      <c r="D248" t="s">
        <v>310</v>
      </c>
      <c r="E248" t="s">
        <v>157</v>
      </c>
      <c r="F248" t="s">
        <v>126</v>
      </c>
      <c r="G248" s="1">
        <v>43227</v>
      </c>
      <c r="H248" t="s">
        <v>243</v>
      </c>
      <c r="K248" s="3">
        <v>936</v>
      </c>
      <c r="L248" s="3">
        <v>396</v>
      </c>
      <c r="M248" s="3">
        <v>1332</v>
      </c>
      <c r="N248" s="4">
        <v>0.7</v>
      </c>
      <c r="O248" s="3">
        <v>74</v>
      </c>
      <c r="P248" s="3"/>
      <c r="Q248" s="3">
        <v>38</v>
      </c>
      <c r="R248" s="3">
        <v>74</v>
      </c>
      <c r="S248" s="5">
        <v>3.5</v>
      </c>
      <c r="T248" s="5">
        <v>3.7</v>
      </c>
      <c r="U248" s="4">
        <v>0.73</v>
      </c>
      <c r="V248" s="4">
        <v>0.7</v>
      </c>
      <c r="W248" s="4">
        <v>0.91</v>
      </c>
      <c r="X248" s="4">
        <v>0.91</v>
      </c>
      <c r="Y248" s="4">
        <v>0.51</v>
      </c>
      <c r="Z248" s="4">
        <v>0.3</v>
      </c>
      <c r="AA248" s="3">
        <v>47</v>
      </c>
      <c r="AB248" s="3">
        <v>25</v>
      </c>
      <c r="AC248" s="5">
        <v>3.9</v>
      </c>
      <c r="AD248" s="4">
        <v>1</v>
      </c>
      <c r="AE248" s="4">
        <v>0.77</v>
      </c>
      <c r="AF248" s="4">
        <v>0.53</v>
      </c>
      <c r="AG248" s="4">
        <v>0.23</v>
      </c>
      <c r="AH248" s="4">
        <v>0.73</v>
      </c>
      <c r="AI248" s="4">
        <v>0.67</v>
      </c>
      <c r="AJ248" t="s">
        <v>72</v>
      </c>
      <c r="AK248" t="s">
        <v>62</v>
      </c>
      <c r="AL248" t="s">
        <v>62</v>
      </c>
      <c r="AM248" t="s">
        <v>104</v>
      </c>
      <c r="AN248" t="s">
        <v>97</v>
      </c>
      <c r="AO248" t="s">
        <v>65</v>
      </c>
      <c r="AP248" t="s">
        <v>66</v>
      </c>
    </row>
    <row r="249" spans="1:42" x14ac:dyDescent="0.25">
      <c r="A249" t="str">
        <f>HYPERLINK("HTTP://10.0.1.74/krs/475/detail","/krs/475")</f>
        <v>/krs/475</v>
      </c>
      <c r="B249">
        <v>475</v>
      </c>
      <c r="C249" t="s">
        <v>80</v>
      </c>
      <c r="D249" t="s">
        <v>310</v>
      </c>
      <c r="E249" t="s">
        <v>87</v>
      </c>
      <c r="F249" t="s">
        <v>339</v>
      </c>
      <c r="G249" s="1">
        <v>43206.640717592592</v>
      </c>
      <c r="H249" t="s">
        <v>88</v>
      </c>
      <c r="I249" t="s">
        <v>57</v>
      </c>
      <c r="J249" t="s">
        <v>340</v>
      </c>
      <c r="K249" s="3">
        <v>1246</v>
      </c>
      <c r="L249" s="3">
        <v>778</v>
      </c>
      <c r="M249" s="3">
        <v>2024</v>
      </c>
      <c r="N249" s="4">
        <v>0.62</v>
      </c>
      <c r="O249" s="3">
        <v>92</v>
      </c>
      <c r="P249" s="3"/>
      <c r="Q249" s="3">
        <v>28</v>
      </c>
      <c r="R249" s="3">
        <v>92</v>
      </c>
      <c r="S249" s="5">
        <v>3.2</v>
      </c>
      <c r="T249" s="5">
        <v>3.2</v>
      </c>
      <c r="U249" s="4">
        <v>0.63</v>
      </c>
      <c r="V249" s="4">
        <v>0.62</v>
      </c>
      <c r="W249" s="4">
        <v>0.84</v>
      </c>
      <c r="X249" s="4">
        <v>0.72</v>
      </c>
      <c r="Y249" s="4">
        <v>0.3</v>
      </c>
      <c r="Z249" s="4">
        <v>0.38</v>
      </c>
      <c r="AA249" s="3">
        <v>87</v>
      </c>
      <c r="AB249" s="3">
        <v>76</v>
      </c>
      <c r="AC249" s="5">
        <v>4.3</v>
      </c>
      <c r="AD249" s="4">
        <v>1</v>
      </c>
      <c r="AE249" s="4">
        <v>0.86</v>
      </c>
      <c r="AF249" s="4">
        <v>0.87</v>
      </c>
      <c r="AG249" s="4">
        <v>0.14000000000000001</v>
      </c>
      <c r="AH249" s="4">
        <v>0.56999999999999995</v>
      </c>
      <c r="AI249" s="4">
        <v>0.66</v>
      </c>
      <c r="AJ249" t="s">
        <v>72</v>
      </c>
      <c r="AK249" t="s">
        <v>61</v>
      </c>
      <c r="AL249" t="s">
        <v>62</v>
      </c>
      <c r="AM249" t="s">
        <v>73</v>
      </c>
      <c r="AN249" t="s">
        <v>64</v>
      </c>
      <c r="AO249" t="s">
        <v>74</v>
      </c>
      <c r="AP249" t="s">
        <v>75</v>
      </c>
    </row>
    <row r="250" spans="1:42" x14ac:dyDescent="0.25">
      <c r="A250" t="str">
        <f>HYPERLINK("HTTP://10.0.1.74/krs/476/detail","/krs/476")</f>
        <v>/krs/476</v>
      </c>
      <c r="B250">
        <v>476</v>
      </c>
      <c r="C250" t="s">
        <v>257</v>
      </c>
      <c r="D250" t="s">
        <v>310</v>
      </c>
      <c r="E250" t="s">
        <v>87</v>
      </c>
      <c r="F250" t="s">
        <v>284</v>
      </c>
      <c r="G250" s="1">
        <v>43206.820532407408</v>
      </c>
      <c r="H250" t="s">
        <v>88</v>
      </c>
      <c r="I250" t="s">
        <v>57</v>
      </c>
      <c r="J250" t="s">
        <v>341</v>
      </c>
      <c r="K250" s="3">
        <v>1787</v>
      </c>
      <c r="L250" s="3">
        <v>655</v>
      </c>
      <c r="M250" s="3">
        <v>2442</v>
      </c>
      <c r="N250" s="4">
        <v>0.73</v>
      </c>
      <c r="O250" s="3">
        <v>111</v>
      </c>
      <c r="P250" s="3"/>
      <c r="Q250" s="3">
        <v>72</v>
      </c>
      <c r="R250" s="3">
        <v>111</v>
      </c>
      <c r="S250" s="5">
        <v>3.8</v>
      </c>
      <c r="T250" s="5">
        <v>3.8</v>
      </c>
      <c r="U250" s="4">
        <v>0.75</v>
      </c>
      <c r="V250" s="4">
        <v>0.73</v>
      </c>
      <c r="W250" s="4">
        <v>0.97</v>
      </c>
      <c r="X250" s="4">
        <v>0</v>
      </c>
      <c r="Y250" s="4">
        <v>0.65</v>
      </c>
      <c r="Z250" s="4">
        <v>0.27</v>
      </c>
      <c r="AA250" s="3">
        <v>0</v>
      </c>
      <c r="AB250" s="3">
        <v>0</v>
      </c>
      <c r="AC250" s="5">
        <v>0</v>
      </c>
      <c r="AD250" s="4">
        <v>0</v>
      </c>
      <c r="AE250" s="4">
        <v>0</v>
      </c>
      <c r="AF250" s="4">
        <v>0</v>
      </c>
      <c r="AG250" s="4">
        <v>1</v>
      </c>
      <c r="AH250" s="4">
        <v>0.79</v>
      </c>
      <c r="AI250" s="4">
        <v>0.7</v>
      </c>
      <c r="AJ250" t="s">
        <v>72</v>
      </c>
      <c r="AK250" t="s">
        <v>62</v>
      </c>
      <c r="AL250" t="s">
        <v>62</v>
      </c>
      <c r="AM250" t="s">
        <v>63</v>
      </c>
      <c r="AN250" t="s">
        <v>64</v>
      </c>
      <c r="AO250" t="s">
        <v>79</v>
      </c>
      <c r="AP250" t="s">
        <v>75</v>
      </c>
    </row>
    <row r="251" spans="1:42" x14ac:dyDescent="0.25">
      <c r="A251" t="str">
        <f>HYPERLINK("HTTP://10.0.1.74/krs/480/detail","/krs/480")</f>
        <v>/krs/480</v>
      </c>
      <c r="B251">
        <v>480</v>
      </c>
      <c r="C251" t="s">
        <v>83</v>
      </c>
      <c r="D251" t="s">
        <v>81</v>
      </c>
      <c r="E251" t="s">
        <v>54</v>
      </c>
      <c r="F251" t="s">
        <v>99</v>
      </c>
      <c r="G251" s="1">
        <v>43055</v>
      </c>
      <c r="H251" t="s">
        <v>121</v>
      </c>
      <c r="I251" t="s">
        <v>51</v>
      </c>
      <c r="J251" t="s">
        <v>342</v>
      </c>
      <c r="K251" s="3">
        <v>144</v>
      </c>
      <c r="L251" s="3">
        <v>31</v>
      </c>
      <c r="M251" s="3">
        <v>175</v>
      </c>
      <c r="N251" s="4">
        <v>0.82</v>
      </c>
      <c r="O251" s="3">
        <v>25</v>
      </c>
      <c r="P251" s="3"/>
      <c r="Q251" s="3">
        <v>22</v>
      </c>
      <c r="R251" s="3">
        <v>25</v>
      </c>
      <c r="S251" s="5">
        <v>4.3</v>
      </c>
      <c r="T251" s="5">
        <v>4.0999999999999996</v>
      </c>
      <c r="U251" s="4">
        <v>0.82</v>
      </c>
      <c r="V251" s="4">
        <v>0.82</v>
      </c>
      <c r="W251" s="4">
        <v>0.96</v>
      </c>
      <c r="X251" s="4">
        <v>0</v>
      </c>
      <c r="Y251" s="4">
        <v>0.88</v>
      </c>
      <c r="Z251" s="4">
        <v>0.18</v>
      </c>
      <c r="AA251" s="3">
        <v>0</v>
      </c>
      <c r="AB251" s="3">
        <v>0</v>
      </c>
      <c r="AC251" s="5">
        <v>0</v>
      </c>
      <c r="AD251" s="4">
        <v>0</v>
      </c>
      <c r="AE251" s="4">
        <v>0</v>
      </c>
      <c r="AF251" s="4">
        <v>0</v>
      </c>
      <c r="AG251" s="4">
        <v>1</v>
      </c>
      <c r="AH251" s="4">
        <v>0.84</v>
      </c>
      <c r="AI251" s="4">
        <v>0.72</v>
      </c>
      <c r="AJ251" t="s">
        <v>72</v>
      </c>
      <c r="AK251" t="s">
        <v>62</v>
      </c>
      <c r="AL251" t="s">
        <v>62</v>
      </c>
      <c r="AM251" t="s">
        <v>63</v>
      </c>
      <c r="AN251" t="s">
        <v>64</v>
      </c>
      <c r="AO251" t="s">
        <v>79</v>
      </c>
      <c r="AP251" t="s">
        <v>75</v>
      </c>
    </row>
    <row r="252" spans="1:42" x14ac:dyDescent="0.25">
      <c r="A252" t="str">
        <f>HYPERLINK("HTTP://10.0.1.74/krs/481/detail","/krs/481")</f>
        <v>/krs/481</v>
      </c>
      <c r="B252">
        <v>481</v>
      </c>
      <c r="C252" t="s">
        <v>84</v>
      </c>
      <c r="D252" t="s">
        <v>81</v>
      </c>
      <c r="E252" t="s">
        <v>54</v>
      </c>
      <c r="F252" t="s">
        <v>99</v>
      </c>
      <c r="G252" s="1">
        <v>43076</v>
      </c>
      <c r="H252" t="s">
        <v>121</v>
      </c>
      <c r="I252" t="s">
        <v>51</v>
      </c>
      <c r="J252" t="s">
        <v>343</v>
      </c>
      <c r="K252" s="3">
        <v>210</v>
      </c>
      <c r="L252" s="3">
        <v>65</v>
      </c>
      <c r="M252" s="3">
        <v>275</v>
      </c>
      <c r="N252" s="4">
        <v>0.76</v>
      </c>
      <c r="O252" s="3">
        <v>25</v>
      </c>
      <c r="P252" s="3"/>
      <c r="Q252" s="3">
        <v>18</v>
      </c>
      <c r="R252" s="3">
        <v>25</v>
      </c>
      <c r="S252" s="5">
        <v>4.0999999999999996</v>
      </c>
      <c r="T252" s="5">
        <v>3.9</v>
      </c>
      <c r="U252" s="4">
        <v>0.78</v>
      </c>
      <c r="V252" s="4">
        <v>0.76</v>
      </c>
      <c r="W252" s="4">
        <v>0.96</v>
      </c>
      <c r="X252" s="4">
        <v>0</v>
      </c>
      <c r="Y252" s="4">
        <v>0.72</v>
      </c>
      <c r="Z252" s="4">
        <v>0.24</v>
      </c>
      <c r="AA252" s="3">
        <v>0</v>
      </c>
      <c r="AB252" s="3">
        <v>0</v>
      </c>
      <c r="AC252" s="5">
        <v>0</v>
      </c>
      <c r="AD252" s="4">
        <v>0</v>
      </c>
      <c r="AE252" s="4">
        <v>0</v>
      </c>
      <c r="AF252" s="4">
        <v>0</v>
      </c>
      <c r="AG252" s="4">
        <v>1</v>
      </c>
      <c r="AH252" s="4">
        <v>0.76</v>
      </c>
      <c r="AI252" s="4">
        <v>0</v>
      </c>
      <c r="AJ252" t="s">
        <v>72</v>
      </c>
      <c r="AK252" t="s">
        <v>62</v>
      </c>
      <c r="AL252" t="s">
        <v>62</v>
      </c>
      <c r="AM252" t="s">
        <v>63</v>
      </c>
      <c r="AN252" t="s">
        <v>64</v>
      </c>
      <c r="AO252" t="s">
        <v>79</v>
      </c>
      <c r="AP252" t="s">
        <v>75</v>
      </c>
    </row>
    <row r="253" spans="1:42" x14ac:dyDescent="0.25">
      <c r="A253" t="str">
        <f>HYPERLINK("HTTP://10.0.1.74/krs/482/detail","/krs/482")</f>
        <v>/krs/482</v>
      </c>
      <c r="B253">
        <v>482</v>
      </c>
      <c r="C253" t="s">
        <v>80</v>
      </c>
      <c r="D253" t="s">
        <v>310</v>
      </c>
      <c r="E253" t="s">
        <v>87</v>
      </c>
      <c r="F253" t="s">
        <v>335</v>
      </c>
      <c r="G253" s="1">
        <v>43206.899305555555</v>
      </c>
      <c r="H253" t="s">
        <v>88</v>
      </c>
      <c r="I253" t="s">
        <v>57</v>
      </c>
      <c r="J253" t="s">
        <v>344</v>
      </c>
      <c r="K253" s="3">
        <v>1583</v>
      </c>
      <c r="L253" s="3">
        <v>664</v>
      </c>
      <c r="M253" s="3">
        <v>2247</v>
      </c>
      <c r="N253" s="4">
        <v>0.7</v>
      </c>
      <c r="O253" s="3">
        <v>107</v>
      </c>
      <c r="P253" s="3"/>
      <c r="Q253" s="3">
        <v>64</v>
      </c>
      <c r="R253" s="3">
        <v>107</v>
      </c>
      <c r="S253" s="5">
        <v>3.6</v>
      </c>
      <c r="T253" s="5">
        <v>3.6</v>
      </c>
      <c r="U253" s="4">
        <v>0.72</v>
      </c>
      <c r="V253" s="4">
        <v>0.7</v>
      </c>
      <c r="W253" s="4">
        <v>0.91</v>
      </c>
      <c r="X253" s="4">
        <v>0.84</v>
      </c>
      <c r="Y253" s="4">
        <v>0.6</v>
      </c>
      <c r="Z253" s="4">
        <v>0.3</v>
      </c>
      <c r="AA253" s="3">
        <v>98</v>
      </c>
      <c r="AB253" s="3">
        <v>74</v>
      </c>
      <c r="AC253" s="5">
        <v>4.2</v>
      </c>
      <c r="AD253" s="4">
        <v>1</v>
      </c>
      <c r="AE253" s="4">
        <v>0.83</v>
      </c>
      <c r="AF253" s="4">
        <v>0.76</v>
      </c>
      <c r="AG253" s="4">
        <v>0.17</v>
      </c>
      <c r="AH253" s="4">
        <v>0.7</v>
      </c>
      <c r="AI253" s="4">
        <v>0.7</v>
      </c>
      <c r="AJ253" t="s">
        <v>72</v>
      </c>
      <c r="AK253" t="s">
        <v>62</v>
      </c>
      <c r="AL253" t="s">
        <v>62</v>
      </c>
      <c r="AM253" t="s">
        <v>73</v>
      </c>
      <c r="AN253" t="s">
        <v>64</v>
      </c>
      <c r="AO253" t="s">
        <v>74</v>
      </c>
      <c r="AP253" t="s">
        <v>75</v>
      </c>
    </row>
    <row r="254" spans="1:42" x14ac:dyDescent="0.25">
      <c r="A254" t="str">
        <f>HYPERLINK("HTTP://10.0.1.74/krs/483/detail","/krs/483")</f>
        <v>/krs/483</v>
      </c>
      <c r="B254">
        <v>483</v>
      </c>
      <c r="C254" t="s">
        <v>345</v>
      </c>
      <c r="D254" t="s">
        <v>310</v>
      </c>
      <c r="E254" t="s">
        <v>135</v>
      </c>
      <c r="F254" t="s">
        <v>346</v>
      </c>
      <c r="G254" s="1">
        <v>43207.402141203704</v>
      </c>
      <c r="H254" t="s">
        <v>137</v>
      </c>
      <c r="I254" t="s">
        <v>57</v>
      </c>
      <c r="K254" s="3">
        <v>563</v>
      </c>
      <c r="L254" s="3">
        <v>193</v>
      </c>
      <c r="M254" s="3">
        <v>756</v>
      </c>
      <c r="N254" s="4">
        <v>0.74</v>
      </c>
      <c r="O254" s="3">
        <v>28</v>
      </c>
      <c r="P254" s="3"/>
      <c r="Q254" s="3">
        <v>18</v>
      </c>
      <c r="R254" s="3">
        <v>28</v>
      </c>
      <c r="S254" s="5">
        <v>3.8</v>
      </c>
      <c r="T254" s="5">
        <v>3.8</v>
      </c>
      <c r="U254" s="4">
        <v>0.76</v>
      </c>
      <c r="V254" s="4">
        <v>0.74</v>
      </c>
      <c r="W254" s="4">
        <v>1</v>
      </c>
      <c r="X254" s="4">
        <v>0</v>
      </c>
      <c r="Y254" s="4">
        <v>0.64</v>
      </c>
      <c r="Z254" s="4">
        <v>0.26</v>
      </c>
      <c r="AA254" s="3">
        <v>0</v>
      </c>
      <c r="AB254" s="3">
        <v>0</v>
      </c>
      <c r="AC254" s="5">
        <v>0</v>
      </c>
      <c r="AD254" s="4">
        <v>0</v>
      </c>
      <c r="AE254" s="4">
        <v>0</v>
      </c>
      <c r="AF254" s="4">
        <v>0</v>
      </c>
      <c r="AG254" s="4">
        <v>1</v>
      </c>
      <c r="AH254" s="4">
        <v>0.69</v>
      </c>
      <c r="AI254" s="4">
        <v>0</v>
      </c>
      <c r="AJ254" t="s">
        <v>72</v>
      </c>
      <c r="AK254" t="s">
        <v>62</v>
      </c>
      <c r="AL254" t="s">
        <v>62</v>
      </c>
      <c r="AM254" t="s">
        <v>63</v>
      </c>
      <c r="AN254" t="s">
        <v>64</v>
      </c>
      <c r="AO254" t="s">
        <v>79</v>
      </c>
      <c r="AP254" t="s">
        <v>75</v>
      </c>
    </row>
    <row r="255" spans="1:42" x14ac:dyDescent="0.25">
      <c r="A255" t="str">
        <f>HYPERLINK("HTTP://10.0.1.74/krs/484/detail","/krs/484")</f>
        <v>/krs/484</v>
      </c>
      <c r="B255">
        <v>484</v>
      </c>
      <c r="C255" t="s">
        <v>309</v>
      </c>
      <c r="D255" t="s">
        <v>310</v>
      </c>
      <c r="E255" t="s">
        <v>87</v>
      </c>
      <c r="F255" t="s">
        <v>126</v>
      </c>
      <c r="G255" s="1">
        <v>43207.43546296296</v>
      </c>
      <c r="H255" t="s">
        <v>88</v>
      </c>
      <c r="I255" t="s">
        <v>57</v>
      </c>
      <c r="J255" t="s">
        <v>347</v>
      </c>
      <c r="K255" s="3">
        <v>1107</v>
      </c>
      <c r="L255" s="3">
        <v>447</v>
      </c>
      <c r="M255" s="3">
        <v>1554</v>
      </c>
      <c r="N255" s="4">
        <v>0.71</v>
      </c>
      <c r="O255" s="3">
        <v>74</v>
      </c>
      <c r="P255" s="3"/>
      <c r="Q255" s="3">
        <v>40</v>
      </c>
      <c r="R255" s="3">
        <v>74</v>
      </c>
      <c r="S255" s="5">
        <v>3.6</v>
      </c>
      <c r="T255" s="5">
        <v>3.6</v>
      </c>
      <c r="U255" s="4">
        <v>0.72</v>
      </c>
      <c r="V255" s="4">
        <v>0.71</v>
      </c>
      <c r="W255" s="4">
        <v>0.99</v>
      </c>
      <c r="X255" s="4">
        <v>0.85</v>
      </c>
      <c r="Y255" s="4">
        <v>0.54</v>
      </c>
      <c r="Z255" s="4">
        <v>0.28999999999999998</v>
      </c>
      <c r="AA255" s="3">
        <v>47</v>
      </c>
      <c r="AB255" s="3">
        <v>34</v>
      </c>
      <c r="AC255" s="5">
        <v>4.2</v>
      </c>
      <c r="AD255" s="4">
        <v>1</v>
      </c>
      <c r="AE255" s="4">
        <v>0.84</v>
      </c>
      <c r="AF255" s="4">
        <v>0.72</v>
      </c>
      <c r="AG255" s="4">
        <v>0.16</v>
      </c>
      <c r="AH255" s="4">
        <v>0.82</v>
      </c>
      <c r="AI255" s="4">
        <v>0.54</v>
      </c>
      <c r="AJ255" t="s">
        <v>72</v>
      </c>
      <c r="AK255" t="s">
        <v>62</v>
      </c>
      <c r="AL255" t="s">
        <v>62</v>
      </c>
      <c r="AM255" t="s">
        <v>73</v>
      </c>
      <c r="AN255" t="s">
        <v>64</v>
      </c>
      <c r="AO255" t="s">
        <v>74</v>
      </c>
      <c r="AP255" t="s">
        <v>75</v>
      </c>
    </row>
    <row r="256" spans="1:42" x14ac:dyDescent="0.25">
      <c r="A256" t="str">
        <f>HYPERLINK("HTTP://10.0.1.74/krs/485/detail","/krs/485")</f>
        <v>/krs/485</v>
      </c>
      <c r="B256">
        <v>485</v>
      </c>
      <c r="C256" t="s">
        <v>348</v>
      </c>
      <c r="D256" t="s">
        <v>81</v>
      </c>
      <c r="E256" t="s">
        <v>54</v>
      </c>
      <c r="F256" t="s">
        <v>107</v>
      </c>
      <c r="G256" s="1">
        <v>43207.475775462961</v>
      </c>
      <c r="H256" t="s">
        <v>56</v>
      </c>
      <c r="I256" t="s">
        <v>57</v>
      </c>
      <c r="K256" s="3">
        <v>114</v>
      </c>
      <c r="L256" s="3">
        <v>120</v>
      </c>
      <c r="M256" s="3">
        <v>234</v>
      </c>
      <c r="N256" s="4">
        <v>0.49</v>
      </c>
      <c r="O256" s="3">
        <v>18</v>
      </c>
      <c r="P256" s="3"/>
      <c r="Q256" s="3">
        <v>4</v>
      </c>
      <c r="R256" s="3">
        <v>18</v>
      </c>
      <c r="S256" s="5">
        <v>2.5</v>
      </c>
      <c r="T256" s="5">
        <v>2.5</v>
      </c>
      <c r="U256" s="4">
        <v>0.5</v>
      </c>
      <c r="V256" s="4">
        <v>0.49</v>
      </c>
      <c r="W256" s="4">
        <v>0.33</v>
      </c>
      <c r="X256" s="4">
        <v>0.59</v>
      </c>
      <c r="Y256" s="4">
        <v>0.22</v>
      </c>
      <c r="Z256" s="4">
        <v>0.51</v>
      </c>
      <c r="AA256" s="3">
        <v>16</v>
      </c>
      <c r="AB256" s="3">
        <v>12</v>
      </c>
      <c r="AC256" s="5">
        <v>4.0999999999999996</v>
      </c>
      <c r="AD256" s="4">
        <v>1</v>
      </c>
      <c r="AE256" s="4">
        <v>0.83</v>
      </c>
      <c r="AF256" s="4">
        <v>0.75</v>
      </c>
      <c r="AG256" s="4">
        <v>0.17</v>
      </c>
      <c r="AH256" s="4">
        <v>0</v>
      </c>
      <c r="AI256" s="4">
        <v>0.5</v>
      </c>
      <c r="AJ256" t="s">
        <v>72</v>
      </c>
      <c r="AK256" t="s">
        <v>86</v>
      </c>
      <c r="AL256" t="s">
        <v>86</v>
      </c>
      <c r="AM256" t="s">
        <v>73</v>
      </c>
      <c r="AN256" t="s">
        <v>64</v>
      </c>
      <c r="AO256" t="s">
        <v>74</v>
      </c>
      <c r="AP256" t="s">
        <v>75</v>
      </c>
    </row>
    <row r="257" spans="1:42" x14ac:dyDescent="0.25">
      <c r="A257" t="str">
        <f>HYPERLINK("HTTP://10.0.1.74/krs/486/detail","/krs/486")</f>
        <v>/krs/486</v>
      </c>
      <c r="B257">
        <v>486</v>
      </c>
      <c r="C257" t="s">
        <v>53</v>
      </c>
      <c r="D257" t="s">
        <v>310</v>
      </c>
      <c r="E257" t="s">
        <v>125</v>
      </c>
      <c r="F257" t="s">
        <v>116</v>
      </c>
      <c r="G257" s="1">
        <v>43237</v>
      </c>
      <c r="H257" t="s">
        <v>127</v>
      </c>
      <c r="I257" t="s">
        <v>51</v>
      </c>
      <c r="J257" t="s">
        <v>349</v>
      </c>
      <c r="K257" s="3"/>
      <c r="L257" s="3"/>
      <c r="M257" s="3"/>
      <c r="N257" s="4"/>
      <c r="O257" s="3"/>
      <c r="P257" s="3"/>
      <c r="Q257" s="3"/>
      <c r="R257" s="3"/>
      <c r="S257" s="5"/>
      <c r="T257" s="5"/>
      <c r="U257" s="4"/>
      <c r="V257" s="4"/>
      <c r="W257" s="4"/>
      <c r="X257" s="4"/>
      <c r="Y257" s="4"/>
      <c r="Z257" s="4"/>
      <c r="AA257" s="3"/>
      <c r="AB257" s="3"/>
      <c r="AC257" s="5"/>
      <c r="AD257" s="4"/>
      <c r="AE257" s="4"/>
      <c r="AF257" s="4"/>
      <c r="AG257" s="4"/>
      <c r="AH257" s="4"/>
      <c r="AI257" s="4"/>
      <c r="AJ257" t="s">
        <v>52</v>
      </c>
      <c r="AK257" t="s">
        <v>52</v>
      </c>
      <c r="AL257" t="s">
        <v>52</v>
      </c>
      <c r="AM257" t="s">
        <v>52</v>
      </c>
      <c r="AN257" t="s">
        <v>52</v>
      </c>
      <c r="AO257" t="s">
        <v>52</v>
      </c>
      <c r="AP257" t="s">
        <v>52</v>
      </c>
    </row>
    <row r="258" spans="1:42" x14ac:dyDescent="0.25">
      <c r="A258" t="str">
        <f>HYPERLINK("HTTP://10.0.1.74/krs/487/detail","/krs/487")</f>
        <v>/krs/487</v>
      </c>
      <c r="B258">
        <v>487</v>
      </c>
      <c r="C258" t="s">
        <v>309</v>
      </c>
      <c r="D258" t="s">
        <v>310</v>
      </c>
      <c r="E258" t="s">
        <v>143</v>
      </c>
      <c r="F258" t="s">
        <v>335</v>
      </c>
      <c r="G258" s="1">
        <v>43207.765069444446</v>
      </c>
      <c r="H258" t="s">
        <v>144</v>
      </c>
      <c r="I258" t="s">
        <v>51</v>
      </c>
      <c r="J258" t="s">
        <v>350</v>
      </c>
      <c r="K258" s="3">
        <v>1843</v>
      </c>
      <c r="L258" s="3">
        <v>965</v>
      </c>
      <c r="M258" s="3">
        <v>2808</v>
      </c>
      <c r="N258" s="4">
        <v>0.66</v>
      </c>
      <c r="O258" s="3">
        <v>108</v>
      </c>
      <c r="P258" s="3"/>
      <c r="Q258" s="3">
        <v>47</v>
      </c>
      <c r="R258" s="3">
        <v>106</v>
      </c>
      <c r="S258" s="5">
        <v>3.4</v>
      </c>
      <c r="T258" s="5">
        <v>3.4</v>
      </c>
      <c r="U258" s="4">
        <v>0.69</v>
      </c>
      <c r="V258" s="4">
        <v>0.66</v>
      </c>
      <c r="W258" s="4">
        <v>0.85</v>
      </c>
      <c r="X258" s="4">
        <v>0.83</v>
      </c>
      <c r="Y258" s="4">
        <v>0.44</v>
      </c>
      <c r="Z258" s="4">
        <v>0.34</v>
      </c>
      <c r="AA258" s="3">
        <v>99</v>
      </c>
      <c r="AB258" s="3">
        <v>66</v>
      </c>
      <c r="AC258" s="5">
        <v>4</v>
      </c>
      <c r="AD258" s="4">
        <v>1</v>
      </c>
      <c r="AE258" s="4">
        <v>0.8</v>
      </c>
      <c r="AF258" s="4">
        <v>0.67</v>
      </c>
      <c r="AG258" s="4">
        <v>0.2</v>
      </c>
      <c r="AH258" s="4">
        <v>0.68</v>
      </c>
      <c r="AI258" s="4">
        <v>0.57999999999999996</v>
      </c>
      <c r="AJ258" t="s">
        <v>72</v>
      </c>
      <c r="AK258" t="s">
        <v>61</v>
      </c>
      <c r="AL258" t="s">
        <v>62</v>
      </c>
      <c r="AM258" t="s">
        <v>73</v>
      </c>
      <c r="AN258" t="s">
        <v>64</v>
      </c>
      <c r="AO258" t="s">
        <v>74</v>
      </c>
      <c r="AP258" t="s">
        <v>75</v>
      </c>
    </row>
    <row r="259" spans="1:42" x14ac:dyDescent="0.25">
      <c r="A259" t="str">
        <f>HYPERLINK("HTTP://10.0.1.74/krs/488/detail","/krs/488")</f>
        <v>/krs/488</v>
      </c>
      <c r="B259">
        <v>488</v>
      </c>
      <c r="C259" t="s">
        <v>309</v>
      </c>
      <c r="D259" t="s">
        <v>310</v>
      </c>
      <c r="E259" t="s">
        <v>143</v>
      </c>
      <c r="F259" t="s">
        <v>95</v>
      </c>
      <c r="G259" s="1">
        <v>43207.823136574072</v>
      </c>
      <c r="H259" t="s">
        <v>144</v>
      </c>
      <c r="I259" t="s">
        <v>51</v>
      </c>
      <c r="J259" t="s">
        <v>351</v>
      </c>
      <c r="K259" s="3">
        <v>2168</v>
      </c>
      <c r="L259" s="3">
        <v>822</v>
      </c>
      <c r="M259" s="3">
        <v>2990</v>
      </c>
      <c r="N259" s="4">
        <v>0.73</v>
      </c>
      <c r="O259" s="3">
        <v>115</v>
      </c>
      <c r="P259" s="3"/>
      <c r="Q259" s="3">
        <v>72</v>
      </c>
      <c r="R259" s="3">
        <v>115</v>
      </c>
      <c r="S259" s="5">
        <v>3.6</v>
      </c>
      <c r="T259" s="5">
        <v>3.8</v>
      </c>
      <c r="U259" s="4">
        <v>0.76</v>
      </c>
      <c r="V259" s="4">
        <v>0.73</v>
      </c>
      <c r="W259" s="4">
        <v>0.98</v>
      </c>
      <c r="X259" s="4">
        <v>0.91</v>
      </c>
      <c r="Y259" s="4">
        <v>0.63</v>
      </c>
      <c r="Z259" s="4">
        <v>0.27</v>
      </c>
      <c r="AA259" s="3">
        <v>84</v>
      </c>
      <c r="AB259" s="3">
        <v>58</v>
      </c>
      <c r="AC259" s="5">
        <v>4</v>
      </c>
      <c r="AD259" s="4">
        <v>1</v>
      </c>
      <c r="AE259" s="4">
        <v>0.8</v>
      </c>
      <c r="AF259" s="4">
        <v>0.69</v>
      </c>
      <c r="AG259" s="4">
        <v>0.2</v>
      </c>
      <c r="AH259" s="4">
        <v>0.81</v>
      </c>
      <c r="AI259" s="4">
        <v>0.51</v>
      </c>
      <c r="AJ259" t="s">
        <v>72</v>
      </c>
      <c r="AK259" t="s">
        <v>62</v>
      </c>
      <c r="AL259" t="s">
        <v>62</v>
      </c>
      <c r="AM259" t="s">
        <v>104</v>
      </c>
      <c r="AN259" t="s">
        <v>97</v>
      </c>
      <c r="AO259" t="s">
        <v>65</v>
      </c>
      <c r="AP259" t="s">
        <v>66</v>
      </c>
    </row>
    <row r="260" spans="1:42" x14ac:dyDescent="0.25">
      <c r="A260" t="str">
        <f>HYPERLINK("HTTP://10.0.1.74/krs/489/detail","/krs/489")</f>
        <v>/krs/489</v>
      </c>
      <c r="B260">
        <v>489</v>
      </c>
      <c r="C260" t="s">
        <v>309</v>
      </c>
      <c r="D260" t="s">
        <v>310</v>
      </c>
      <c r="E260" t="s">
        <v>87</v>
      </c>
      <c r="F260" t="s">
        <v>95</v>
      </c>
      <c r="G260" s="1">
        <v>43207.789907407408</v>
      </c>
      <c r="H260" t="s">
        <v>88</v>
      </c>
      <c r="I260" t="s">
        <v>57</v>
      </c>
      <c r="J260" t="s">
        <v>352</v>
      </c>
      <c r="K260" s="3">
        <v>1949</v>
      </c>
      <c r="L260" s="3">
        <v>811</v>
      </c>
      <c r="M260" s="3">
        <v>2760</v>
      </c>
      <c r="N260" s="4">
        <v>0.71</v>
      </c>
      <c r="O260" s="3">
        <v>115</v>
      </c>
      <c r="P260" s="3"/>
      <c r="Q260" s="3">
        <v>76</v>
      </c>
      <c r="R260" s="3">
        <v>112</v>
      </c>
      <c r="S260" s="5">
        <v>3.7</v>
      </c>
      <c r="T260" s="5">
        <v>3.7</v>
      </c>
      <c r="U260" s="4">
        <v>0.75</v>
      </c>
      <c r="V260" s="4">
        <v>0.71</v>
      </c>
      <c r="W260" s="4">
        <v>0.87</v>
      </c>
      <c r="X260" s="4">
        <v>0.83</v>
      </c>
      <c r="Y260" s="4">
        <v>0.68</v>
      </c>
      <c r="Z260" s="4">
        <v>0.28999999999999998</v>
      </c>
      <c r="AA260" s="3">
        <v>84</v>
      </c>
      <c r="AB260" s="3">
        <v>74</v>
      </c>
      <c r="AC260" s="5">
        <v>4.3</v>
      </c>
      <c r="AD260" s="4">
        <v>1</v>
      </c>
      <c r="AE260" s="4">
        <v>0.86</v>
      </c>
      <c r="AF260" s="4">
        <v>0.88</v>
      </c>
      <c r="AG260" s="4">
        <v>0.14000000000000001</v>
      </c>
      <c r="AH260" s="4">
        <v>0.71</v>
      </c>
      <c r="AI260" s="4">
        <v>0.68</v>
      </c>
      <c r="AJ260" t="s">
        <v>72</v>
      </c>
      <c r="AK260" t="s">
        <v>62</v>
      </c>
      <c r="AL260" t="s">
        <v>62</v>
      </c>
      <c r="AM260" t="s">
        <v>73</v>
      </c>
      <c r="AN260" t="s">
        <v>64</v>
      </c>
      <c r="AO260" t="s">
        <v>74</v>
      </c>
      <c r="AP260" t="s">
        <v>75</v>
      </c>
    </row>
    <row r="261" spans="1:42" x14ac:dyDescent="0.25">
      <c r="A261" t="str">
        <f>HYPERLINK("HTTP://10.0.1.74/krs/490/detail","/krs/490")</f>
        <v>/krs/490</v>
      </c>
      <c r="B261">
        <v>490</v>
      </c>
      <c r="C261" t="s">
        <v>309</v>
      </c>
      <c r="D261" t="s">
        <v>310</v>
      </c>
      <c r="E261" t="s">
        <v>87</v>
      </c>
      <c r="F261" t="s">
        <v>108</v>
      </c>
      <c r="G261" s="1">
        <v>43207.895694444444</v>
      </c>
      <c r="H261" t="s">
        <v>88</v>
      </c>
      <c r="I261" t="s">
        <v>57</v>
      </c>
      <c r="J261" t="s">
        <v>353</v>
      </c>
      <c r="K261" s="3">
        <v>300</v>
      </c>
      <c r="L261" s="3">
        <v>116</v>
      </c>
      <c r="M261" s="3">
        <v>416</v>
      </c>
      <c r="N261" s="4">
        <v>0.72</v>
      </c>
      <c r="O261" s="3">
        <v>16</v>
      </c>
      <c r="P261" s="3"/>
      <c r="Q261" s="3">
        <v>10</v>
      </c>
      <c r="R261" s="3">
        <v>16</v>
      </c>
      <c r="S261" s="5">
        <v>3.6</v>
      </c>
      <c r="T261" s="5">
        <v>3.6</v>
      </c>
      <c r="U261" s="4">
        <v>0.73</v>
      </c>
      <c r="V261" s="4">
        <v>0.72</v>
      </c>
      <c r="W261" s="4">
        <v>0.94</v>
      </c>
      <c r="X261" s="4">
        <v>0.84</v>
      </c>
      <c r="Y261" s="4">
        <v>0.63</v>
      </c>
      <c r="Z261" s="4">
        <v>0.28000000000000003</v>
      </c>
      <c r="AA261" s="3">
        <v>8</v>
      </c>
      <c r="AB261" s="3">
        <v>8</v>
      </c>
      <c r="AC261" s="5">
        <v>4.3</v>
      </c>
      <c r="AD261" s="4">
        <v>1</v>
      </c>
      <c r="AE261" s="4">
        <v>0.86</v>
      </c>
      <c r="AF261" s="4">
        <v>1</v>
      </c>
      <c r="AG261" s="4">
        <v>0.14000000000000001</v>
      </c>
      <c r="AH261" s="4">
        <v>0.8</v>
      </c>
      <c r="AI261" s="4">
        <v>0.71</v>
      </c>
      <c r="AJ261" t="s">
        <v>72</v>
      </c>
      <c r="AK261" t="s">
        <v>62</v>
      </c>
      <c r="AL261" t="s">
        <v>62</v>
      </c>
      <c r="AM261" t="s">
        <v>73</v>
      </c>
      <c r="AN261" t="s">
        <v>64</v>
      </c>
      <c r="AO261" t="s">
        <v>74</v>
      </c>
      <c r="AP261" t="s">
        <v>75</v>
      </c>
    </row>
    <row r="262" spans="1:42" x14ac:dyDescent="0.25">
      <c r="A262" t="str">
        <f>HYPERLINK("HTTP://10.0.1.74/krs/491/detail","/krs/491")</f>
        <v>/krs/491</v>
      </c>
      <c r="B262">
        <v>491</v>
      </c>
      <c r="C262" t="s">
        <v>354</v>
      </c>
      <c r="D262" t="s">
        <v>310</v>
      </c>
      <c r="E262" t="s">
        <v>125</v>
      </c>
      <c r="F262" t="s">
        <v>99</v>
      </c>
      <c r="G262" s="1">
        <v>43239</v>
      </c>
      <c r="H262" t="s">
        <v>127</v>
      </c>
      <c r="I262" t="s">
        <v>51</v>
      </c>
      <c r="J262" t="s">
        <v>355</v>
      </c>
      <c r="K262" s="3">
        <v>340</v>
      </c>
      <c r="L262" s="3">
        <v>235</v>
      </c>
      <c r="M262" s="3">
        <v>575</v>
      </c>
      <c r="N262" s="4">
        <v>0.59</v>
      </c>
      <c r="O262" s="3">
        <v>25</v>
      </c>
      <c r="P262" s="3"/>
      <c r="Q262" s="3">
        <v>7</v>
      </c>
      <c r="R262" s="3">
        <v>25</v>
      </c>
      <c r="S262" s="5">
        <v>3.1</v>
      </c>
      <c r="T262" s="5">
        <v>3.3</v>
      </c>
      <c r="U262" s="4">
        <v>0.66</v>
      </c>
      <c r="V262" s="4">
        <v>0.59</v>
      </c>
      <c r="W262" s="4">
        <v>0.88</v>
      </c>
      <c r="X262" s="4">
        <v>0</v>
      </c>
      <c r="Y262" s="4">
        <v>0.28000000000000003</v>
      </c>
      <c r="Z262" s="4">
        <v>0.41</v>
      </c>
      <c r="AA262" s="3">
        <v>0</v>
      </c>
      <c r="AB262" s="3">
        <v>0</v>
      </c>
      <c r="AC262" s="5">
        <v>0</v>
      </c>
      <c r="AD262" s="4">
        <v>0</v>
      </c>
      <c r="AE262" s="4">
        <v>0</v>
      </c>
      <c r="AF262" s="4">
        <v>0</v>
      </c>
      <c r="AG262" s="4">
        <v>1</v>
      </c>
      <c r="AH262" s="4">
        <v>0.69</v>
      </c>
      <c r="AI262" s="4">
        <v>0.44</v>
      </c>
      <c r="AJ262" t="s">
        <v>72</v>
      </c>
      <c r="AK262" t="s">
        <v>86</v>
      </c>
      <c r="AL262" t="s">
        <v>62</v>
      </c>
      <c r="AM262" t="s">
        <v>63</v>
      </c>
      <c r="AN262" t="s">
        <v>64</v>
      </c>
      <c r="AO262" t="s">
        <v>79</v>
      </c>
      <c r="AP262" t="s">
        <v>75</v>
      </c>
    </row>
    <row r="263" spans="1:42" x14ac:dyDescent="0.25">
      <c r="A263" t="str">
        <f>HYPERLINK("HTTP://10.0.1.74/krs/492/detail","/krs/492")</f>
        <v>/krs/492</v>
      </c>
      <c r="B263">
        <v>492</v>
      </c>
      <c r="C263" t="s">
        <v>309</v>
      </c>
      <c r="D263" t="s">
        <v>310</v>
      </c>
      <c r="E263" t="s">
        <v>143</v>
      </c>
      <c r="F263" t="s">
        <v>176</v>
      </c>
      <c r="G263" s="1">
        <v>43207.862824074073</v>
      </c>
      <c r="H263" t="s">
        <v>144</v>
      </c>
      <c r="I263" t="s">
        <v>51</v>
      </c>
      <c r="J263" t="s">
        <v>356</v>
      </c>
      <c r="K263" s="3">
        <v>581</v>
      </c>
      <c r="L263" s="3">
        <v>175</v>
      </c>
      <c r="M263" s="3">
        <v>756</v>
      </c>
      <c r="N263" s="4">
        <v>0.77</v>
      </c>
      <c r="O263" s="3">
        <v>27</v>
      </c>
      <c r="P263" s="3"/>
      <c r="Q263" s="3">
        <v>23</v>
      </c>
      <c r="R263" s="3">
        <v>27</v>
      </c>
      <c r="S263" s="5">
        <v>3.8</v>
      </c>
      <c r="T263" s="5">
        <v>3.9</v>
      </c>
      <c r="U263" s="4">
        <v>0.79</v>
      </c>
      <c r="V263" s="4">
        <v>0.77</v>
      </c>
      <c r="W263" s="4">
        <v>1</v>
      </c>
      <c r="X263" s="4">
        <v>0.95</v>
      </c>
      <c r="Y263" s="4">
        <v>0.85</v>
      </c>
      <c r="Z263" s="4">
        <v>0.23</v>
      </c>
      <c r="AA263" s="3">
        <v>15</v>
      </c>
      <c r="AB263" s="3">
        <v>12</v>
      </c>
      <c r="AC263" s="5">
        <v>4</v>
      </c>
      <c r="AD263" s="4">
        <v>1</v>
      </c>
      <c r="AE263" s="4">
        <v>0.81</v>
      </c>
      <c r="AF263" s="4">
        <v>0.8</v>
      </c>
      <c r="AG263" s="4">
        <v>0.19</v>
      </c>
      <c r="AH263" s="4">
        <v>0.79</v>
      </c>
      <c r="AI263" s="4">
        <v>0.64</v>
      </c>
      <c r="AJ263" t="s">
        <v>72</v>
      </c>
      <c r="AK263" t="s">
        <v>62</v>
      </c>
      <c r="AL263" t="s">
        <v>62</v>
      </c>
      <c r="AM263" t="s">
        <v>63</v>
      </c>
      <c r="AN263" t="s">
        <v>97</v>
      </c>
      <c r="AO263" t="s">
        <v>79</v>
      </c>
      <c r="AP263" t="s">
        <v>66</v>
      </c>
    </row>
    <row r="264" spans="1:42" x14ac:dyDescent="0.25">
      <c r="A264" t="str">
        <f>HYPERLINK("HTTP://10.0.1.74/krs/493/detail","/krs/493")</f>
        <v>/krs/493</v>
      </c>
      <c r="B264">
        <v>493</v>
      </c>
      <c r="C264" t="s">
        <v>354</v>
      </c>
      <c r="D264" t="s">
        <v>310</v>
      </c>
      <c r="E264" t="s">
        <v>125</v>
      </c>
      <c r="F264" t="s">
        <v>102</v>
      </c>
      <c r="G264" s="1">
        <v>43237</v>
      </c>
      <c r="H264" t="s">
        <v>127</v>
      </c>
      <c r="I264" t="s">
        <v>51</v>
      </c>
      <c r="K264" s="3">
        <v>260</v>
      </c>
      <c r="L264" s="3">
        <v>200</v>
      </c>
      <c r="M264" s="3">
        <v>460</v>
      </c>
      <c r="N264" s="4">
        <v>0.56999999999999995</v>
      </c>
      <c r="O264" s="3">
        <v>20</v>
      </c>
      <c r="P264" s="3"/>
      <c r="Q264" s="3">
        <v>3</v>
      </c>
      <c r="R264" s="3">
        <v>20</v>
      </c>
      <c r="S264" s="5">
        <v>2.9</v>
      </c>
      <c r="T264" s="5">
        <v>3</v>
      </c>
      <c r="U264" s="4">
        <v>0.59</v>
      </c>
      <c r="V264" s="4">
        <v>0.56999999999999995</v>
      </c>
      <c r="W264" s="4">
        <v>0.8</v>
      </c>
      <c r="X264" s="4">
        <v>0</v>
      </c>
      <c r="Y264" s="4">
        <v>0.15</v>
      </c>
      <c r="Z264" s="4">
        <v>0.43</v>
      </c>
      <c r="AA264" s="3">
        <v>0</v>
      </c>
      <c r="AB264" s="3">
        <v>0</v>
      </c>
      <c r="AC264" s="5">
        <v>0</v>
      </c>
      <c r="AD264" s="4">
        <v>0</v>
      </c>
      <c r="AE264" s="4">
        <v>0</v>
      </c>
      <c r="AF264" s="4">
        <v>0</v>
      </c>
      <c r="AG264" s="4">
        <v>1</v>
      </c>
      <c r="AH264" s="4">
        <v>0.72</v>
      </c>
      <c r="AI264" s="4">
        <v>0.33</v>
      </c>
      <c r="AJ264" t="s">
        <v>72</v>
      </c>
      <c r="AK264" t="s">
        <v>86</v>
      </c>
      <c r="AL264" t="s">
        <v>62</v>
      </c>
      <c r="AM264" t="s">
        <v>63</v>
      </c>
      <c r="AN264" t="s">
        <v>64</v>
      </c>
      <c r="AO264" t="s">
        <v>79</v>
      </c>
      <c r="AP264" t="s">
        <v>75</v>
      </c>
    </row>
    <row r="265" spans="1:42" x14ac:dyDescent="0.25">
      <c r="A265" t="str">
        <f>HYPERLINK("HTTP://10.0.1.74/krs/494/detail","/krs/494")</f>
        <v>/krs/494</v>
      </c>
      <c r="B265">
        <v>494</v>
      </c>
      <c r="C265" t="s">
        <v>357</v>
      </c>
      <c r="D265" t="s">
        <v>310</v>
      </c>
      <c r="E265" t="s">
        <v>125</v>
      </c>
      <c r="F265" t="s">
        <v>105</v>
      </c>
      <c r="G265" s="1">
        <v>43238</v>
      </c>
      <c r="H265" t="s">
        <v>127</v>
      </c>
      <c r="I265" t="s">
        <v>51</v>
      </c>
      <c r="K265" s="3">
        <v>292</v>
      </c>
      <c r="L265" s="3">
        <v>237</v>
      </c>
      <c r="M265" s="3">
        <v>529</v>
      </c>
      <c r="N265" s="4">
        <v>0.55000000000000004</v>
      </c>
      <c r="O265" s="3">
        <v>23</v>
      </c>
      <c r="P265" s="3"/>
      <c r="Q265" s="3">
        <v>6</v>
      </c>
      <c r="R265" s="3">
        <v>23</v>
      </c>
      <c r="S265" s="5">
        <v>2.9</v>
      </c>
      <c r="T265" s="5">
        <v>3</v>
      </c>
      <c r="U265" s="4">
        <v>0.59</v>
      </c>
      <c r="V265" s="4">
        <v>0.55000000000000004</v>
      </c>
      <c r="W265" s="4">
        <v>0.7</v>
      </c>
      <c r="X265" s="4">
        <v>0</v>
      </c>
      <c r="Y265" s="4">
        <v>0.26</v>
      </c>
      <c r="Z265" s="4">
        <v>0.45</v>
      </c>
      <c r="AA265" s="3">
        <v>0</v>
      </c>
      <c r="AB265" s="3">
        <v>0</v>
      </c>
      <c r="AC265" s="5">
        <v>0</v>
      </c>
      <c r="AD265" s="4">
        <v>0</v>
      </c>
      <c r="AE265" s="4">
        <v>0</v>
      </c>
      <c r="AF265" s="4">
        <v>0</v>
      </c>
      <c r="AG265" s="4">
        <v>1</v>
      </c>
      <c r="AH265" s="4">
        <v>0.67</v>
      </c>
      <c r="AI265" s="4">
        <v>0.37</v>
      </c>
      <c r="AJ265" t="s">
        <v>72</v>
      </c>
      <c r="AK265" t="s">
        <v>86</v>
      </c>
      <c r="AL265" t="s">
        <v>62</v>
      </c>
      <c r="AM265" t="s">
        <v>63</v>
      </c>
      <c r="AN265" t="s">
        <v>64</v>
      </c>
      <c r="AO265" t="s">
        <v>79</v>
      </c>
      <c r="AP265" t="s">
        <v>75</v>
      </c>
    </row>
    <row r="266" spans="1:42" x14ac:dyDescent="0.25">
      <c r="A266" t="str">
        <f>HYPERLINK("HTTP://10.0.1.74/krs/495/detail","/krs/495")</f>
        <v>/krs/495</v>
      </c>
      <c r="B266">
        <v>495</v>
      </c>
      <c r="C266" t="s">
        <v>358</v>
      </c>
      <c r="D266" t="s">
        <v>310</v>
      </c>
      <c r="E266" t="s">
        <v>125</v>
      </c>
      <c r="F266" t="s">
        <v>89</v>
      </c>
      <c r="G266" s="1">
        <v>43234</v>
      </c>
      <c r="H266" t="s">
        <v>127</v>
      </c>
      <c r="I266" t="s">
        <v>51</v>
      </c>
      <c r="K266" s="3">
        <v>286</v>
      </c>
      <c r="L266" s="3">
        <v>266</v>
      </c>
      <c r="M266" s="3">
        <v>552</v>
      </c>
      <c r="N266" s="4">
        <v>0.52</v>
      </c>
      <c r="O266" s="3">
        <v>24</v>
      </c>
      <c r="P266" s="3"/>
      <c r="Q266" s="3">
        <v>4</v>
      </c>
      <c r="R266" s="3">
        <v>24</v>
      </c>
      <c r="S266" s="5">
        <v>2.6</v>
      </c>
      <c r="T266" s="5">
        <v>2.9</v>
      </c>
      <c r="U266" s="4">
        <v>0.57999999999999996</v>
      </c>
      <c r="V266" s="4">
        <v>0.52</v>
      </c>
      <c r="W266" s="4">
        <v>0.67</v>
      </c>
      <c r="X266" s="4">
        <v>0.63</v>
      </c>
      <c r="Y266" s="4">
        <v>0.17</v>
      </c>
      <c r="Z266" s="4">
        <v>0.48</v>
      </c>
      <c r="AA266" s="3">
        <v>19</v>
      </c>
      <c r="AB266" s="3">
        <v>14</v>
      </c>
      <c r="AC266" s="5">
        <v>4.0999999999999996</v>
      </c>
      <c r="AD266" s="4">
        <v>1</v>
      </c>
      <c r="AE266" s="4">
        <v>0.82</v>
      </c>
      <c r="AF266" s="4">
        <v>0.74</v>
      </c>
      <c r="AG266" s="4">
        <v>0.18</v>
      </c>
      <c r="AH266" s="4">
        <v>0.63</v>
      </c>
      <c r="AI266" s="4">
        <v>0.3</v>
      </c>
      <c r="AJ266" t="s">
        <v>72</v>
      </c>
      <c r="AK266" t="s">
        <v>86</v>
      </c>
      <c r="AL266" t="s">
        <v>61</v>
      </c>
      <c r="AM266" t="s">
        <v>73</v>
      </c>
      <c r="AN266" t="s">
        <v>64</v>
      </c>
      <c r="AO266" t="s">
        <v>74</v>
      </c>
      <c r="AP266" t="s">
        <v>75</v>
      </c>
    </row>
    <row r="267" spans="1:42" x14ac:dyDescent="0.25">
      <c r="A267" t="str">
        <f>HYPERLINK("HTTP://10.0.1.74/krs/496/detail","/krs/496")</f>
        <v>/krs/496</v>
      </c>
      <c r="B267">
        <v>496</v>
      </c>
      <c r="C267" t="s">
        <v>359</v>
      </c>
      <c r="D267" t="s">
        <v>310</v>
      </c>
      <c r="E267" t="s">
        <v>125</v>
      </c>
      <c r="F267" t="s">
        <v>107</v>
      </c>
      <c r="G267" s="1">
        <v>43234</v>
      </c>
      <c r="H267" t="s">
        <v>127</v>
      </c>
      <c r="I267" t="s">
        <v>51</v>
      </c>
      <c r="K267" s="3">
        <v>237</v>
      </c>
      <c r="L267" s="3">
        <v>269</v>
      </c>
      <c r="M267" s="3">
        <v>506</v>
      </c>
      <c r="N267" s="4">
        <v>0.47</v>
      </c>
      <c r="O267" s="3">
        <v>22</v>
      </c>
      <c r="P267" s="3"/>
      <c r="Q267" s="3">
        <v>2</v>
      </c>
      <c r="R267" s="3">
        <v>22</v>
      </c>
      <c r="S267" s="5">
        <v>2.5</v>
      </c>
      <c r="T267" s="5">
        <v>2.8</v>
      </c>
      <c r="U267" s="4">
        <v>0.55000000000000004</v>
      </c>
      <c r="V267" s="4">
        <v>0.47</v>
      </c>
      <c r="W267" s="4">
        <v>0.68</v>
      </c>
      <c r="X267" s="4">
        <v>0</v>
      </c>
      <c r="Y267" s="4">
        <v>0.09</v>
      </c>
      <c r="Z267" s="4">
        <v>0.53</v>
      </c>
      <c r="AA267" s="3">
        <v>0</v>
      </c>
      <c r="AB267" s="3">
        <v>0</v>
      </c>
      <c r="AC267" s="5">
        <v>0</v>
      </c>
      <c r="AD267" s="4">
        <v>0</v>
      </c>
      <c r="AE267" s="4">
        <v>0</v>
      </c>
      <c r="AF267" s="4">
        <v>0</v>
      </c>
      <c r="AG267" s="4">
        <v>1</v>
      </c>
      <c r="AH267" s="4">
        <v>0.56999999999999995</v>
      </c>
      <c r="AI267" s="4">
        <v>0.32</v>
      </c>
      <c r="AJ267" t="s">
        <v>72</v>
      </c>
      <c r="AK267" t="s">
        <v>86</v>
      </c>
      <c r="AL267" t="s">
        <v>61</v>
      </c>
      <c r="AM267" t="s">
        <v>63</v>
      </c>
      <c r="AN267" t="s">
        <v>97</v>
      </c>
      <c r="AO267" t="s">
        <v>79</v>
      </c>
      <c r="AP267" t="s">
        <v>75</v>
      </c>
    </row>
    <row r="268" spans="1:42" x14ac:dyDescent="0.25">
      <c r="A268" t="str">
        <f>HYPERLINK("HTTP://10.0.1.74/krs/497/detail","/krs/497")</f>
        <v>/krs/497</v>
      </c>
      <c r="B268">
        <v>497</v>
      </c>
      <c r="C268" t="s">
        <v>309</v>
      </c>
      <c r="D268" t="s">
        <v>310</v>
      </c>
      <c r="E268" t="s">
        <v>87</v>
      </c>
      <c r="F268" t="s">
        <v>123</v>
      </c>
      <c r="G268" s="1">
        <v>43208.439270833333</v>
      </c>
      <c r="H268" t="s">
        <v>144</v>
      </c>
      <c r="I268" t="s">
        <v>51</v>
      </c>
      <c r="J268" t="s">
        <v>340</v>
      </c>
      <c r="K268" s="3">
        <v>451</v>
      </c>
      <c r="L268" s="3">
        <v>216</v>
      </c>
      <c r="M268" s="3">
        <v>667</v>
      </c>
      <c r="N268" s="4">
        <v>0.68</v>
      </c>
      <c r="O268" s="3">
        <v>29</v>
      </c>
      <c r="P268" s="3"/>
      <c r="Q268" s="3">
        <v>19</v>
      </c>
      <c r="R268" s="3">
        <v>27</v>
      </c>
      <c r="S268" s="5">
        <v>3.8</v>
      </c>
      <c r="T268" s="5">
        <v>3.6</v>
      </c>
      <c r="U268" s="4">
        <v>0.78</v>
      </c>
      <c r="V268" s="4">
        <v>0.68</v>
      </c>
      <c r="W268" s="4">
        <v>0.93</v>
      </c>
      <c r="X268" s="4">
        <v>0.77</v>
      </c>
      <c r="Y268" s="4">
        <v>0.7</v>
      </c>
      <c r="Z268" s="4">
        <v>0.32</v>
      </c>
      <c r="AA268" s="3">
        <v>28</v>
      </c>
      <c r="AB268" s="3">
        <v>27</v>
      </c>
      <c r="AC268" s="5">
        <v>4.4000000000000004</v>
      </c>
      <c r="AD268" s="4">
        <v>1</v>
      </c>
      <c r="AE268" s="4">
        <v>0.88</v>
      </c>
      <c r="AF268" s="4">
        <v>0.96</v>
      </c>
      <c r="AG268" s="4">
        <v>0.12</v>
      </c>
      <c r="AH268" s="4">
        <v>0.71</v>
      </c>
      <c r="AI268" s="4">
        <v>0.57999999999999996</v>
      </c>
      <c r="AJ268" t="s">
        <v>60</v>
      </c>
      <c r="AK268" t="s">
        <v>61</v>
      </c>
      <c r="AL268" t="s">
        <v>62</v>
      </c>
      <c r="AM268" t="s">
        <v>73</v>
      </c>
      <c r="AN268" t="s">
        <v>64</v>
      </c>
      <c r="AO268" t="s">
        <v>74</v>
      </c>
      <c r="AP268" t="s">
        <v>75</v>
      </c>
    </row>
    <row r="269" spans="1:42" x14ac:dyDescent="0.25">
      <c r="A269" t="str">
        <f>HYPERLINK("HTTP://10.0.1.74/krs/498/detail","/krs/498")</f>
        <v>/krs/498</v>
      </c>
      <c r="B269">
        <v>498</v>
      </c>
      <c r="C269" t="s">
        <v>360</v>
      </c>
      <c r="D269" t="s">
        <v>310</v>
      </c>
      <c r="E269" t="s">
        <v>125</v>
      </c>
      <c r="F269" t="s">
        <v>176</v>
      </c>
      <c r="G269" s="1">
        <v>43243</v>
      </c>
      <c r="H269" t="s">
        <v>127</v>
      </c>
      <c r="I269" t="s">
        <v>51</v>
      </c>
      <c r="K269" s="3">
        <v>251</v>
      </c>
      <c r="L269" s="3">
        <v>343</v>
      </c>
      <c r="M269" s="3">
        <v>594</v>
      </c>
      <c r="N269" s="4">
        <v>0.42</v>
      </c>
      <c r="O269" s="3">
        <v>27</v>
      </c>
      <c r="P269" s="3"/>
      <c r="Q269" s="3">
        <v>3</v>
      </c>
      <c r="R269" s="3">
        <v>22</v>
      </c>
      <c r="S269" s="5">
        <v>2.9</v>
      </c>
      <c r="T269" s="5">
        <v>2.6</v>
      </c>
      <c r="U269" s="4">
        <v>0.63</v>
      </c>
      <c r="V269" s="4">
        <v>0.42</v>
      </c>
      <c r="W269" s="4">
        <v>0.55000000000000004</v>
      </c>
      <c r="X269" s="4">
        <v>0.53</v>
      </c>
      <c r="Y269" s="4">
        <v>0.14000000000000001</v>
      </c>
      <c r="Z269" s="4">
        <v>0.57999999999999996</v>
      </c>
      <c r="AA269" s="3">
        <v>15</v>
      </c>
      <c r="AB269" s="3">
        <v>9</v>
      </c>
      <c r="AC269" s="5">
        <v>4</v>
      </c>
      <c r="AD269" s="4">
        <v>1</v>
      </c>
      <c r="AE269" s="4">
        <v>0.79</v>
      </c>
      <c r="AF269" s="4">
        <v>0.6</v>
      </c>
      <c r="AG269" s="4">
        <v>0.21</v>
      </c>
      <c r="AH269" s="4">
        <v>0.52</v>
      </c>
      <c r="AI269" s="4">
        <v>0</v>
      </c>
      <c r="AJ269" t="s">
        <v>60</v>
      </c>
      <c r="AK269" t="s">
        <v>86</v>
      </c>
      <c r="AL269" t="s">
        <v>61</v>
      </c>
      <c r="AM269" t="s">
        <v>73</v>
      </c>
      <c r="AN269" t="s">
        <v>64</v>
      </c>
      <c r="AO269" t="s">
        <v>74</v>
      </c>
      <c r="AP269" t="s">
        <v>75</v>
      </c>
    </row>
    <row r="270" spans="1:42" x14ac:dyDescent="0.25">
      <c r="A270" t="str">
        <f>HYPERLINK("HTTP://10.0.1.74/krs/500/detail","/krs/500")</f>
        <v>/krs/500</v>
      </c>
      <c r="B270">
        <v>500</v>
      </c>
      <c r="C270" t="s">
        <v>309</v>
      </c>
      <c r="D270" t="s">
        <v>310</v>
      </c>
      <c r="E270" t="s">
        <v>87</v>
      </c>
      <c r="F270" t="s">
        <v>194</v>
      </c>
      <c r="G270" s="1">
        <v>43208.470289351855</v>
      </c>
      <c r="H270" t="s">
        <v>144</v>
      </c>
      <c r="I270" t="s">
        <v>51</v>
      </c>
      <c r="J270" t="s">
        <v>361</v>
      </c>
      <c r="K270" s="3">
        <v>608</v>
      </c>
      <c r="L270" s="3">
        <v>171</v>
      </c>
      <c r="M270" s="3">
        <v>779</v>
      </c>
      <c r="N270" s="4">
        <v>0.78</v>
      </c>
      <c r="O270" s="3">
        <v>40</v>
      </c>
      <c r="P270" s="3"/>
      <c r="Q270" s="3">
        <v>33</v>
      </c>
      <c r="R270" s="3">
        <v>40</v>
      </c>
      <c r="S270" s="5">
        <v>4</v>
      </c>
      <c r="T270" s="5">
        <v>4.0999999999999996</v>
      </c>
      <c r="U270" s="4">
        <v>0.82</v>
      </c>
      <c r="V270" s="4">
        <v>0.78</v>
      </c>
      <c r="W270" s="4">
        <v>1</v>
      </c>
      <c r="X270" s="4">
        <v>0.95</v>
      </c>
      <c r="Y270" s="4">
        <v>0.83</v>
      </c>
      <c r="Z270" s="4">
        <v>0.22</v>
      </c>
      <c r="AA270" s="3">
        <v>22</v>
      </c>
      <c r="AB270" s="3">
        <v>20</v>
      </c>
      <c r="AC270" s="5">
        <v>4.0999999999999996</v>
      </c>
      <c r="AD270" s="4">
        <v>1</v>
      </c>
      <c r="AE270" s="4">
        <v>0.82</v>
      </c>
      <c r="AF270" s="4">
        <v>0.91</v>
      </c>
      <c r="AG270" s="4">
        <v>0.18</v>
      </c>
      <c r="AH270" s="4">
        <v>0.83</v>
      </c>
      <c r="AI270" s="4">
        <v>0.66</v>
      </c>
      <c r="AJ270" t="s">
        <v>72</v>
      </c>
      <c r="AK270" t="s">
        <v>62</v>
      </c>
      <c r="AL270" t="s">
        <v>62</v>
      </c>
      <c r="AM270" t="s">
        <v>63</v>
      </c>
      <c r="AN270" t="s">
        <v>97</v>
      </c>
      <c r="AO270" t="s">
        <v>79</v>
      </c>
      <c r="AP270" t="s">
        <v>66</v>
      </c>
    </row>
    <row r="271" spans="1:42" x14ac:dyDescent="0.25">
      <c r="A271" t="str">
        <f>HYPERLINK("HTTP://10.0.1.74/krs/501/detail","/krs/501")</f>
        <v>/krs/501</v>
      </c>
      <c r="B271">
        <v>501</v>
      </c>
      <c r="C271" t="s">
        <v>362</v>
      </c>
      <c r="D271" t="s">
        <v>310</v>
      </c>
      <c r="E271" t="s">
        <v>125</v>
      </c>
      <c r="F271" t="s">
        <v>162</v>
      </c>
      <c r="G271" s="1">
        <v>43243</v>
      </c>
      <c r="H271" t="s">
        <v>127</v>
      </c>
      <c r="I271" t="s">
        <v>51</v>
      </c>
      <c r="K271" s="3">
        <v>129</v>
      </c>
      <c r="L271" s="3">
        <v>157</v>
      </c>
      <c r="M271" s="3">
        <v>286</v>
      </c>
      <c r="N271" s="4">
        <v>0.45</v>
      </c>
      <c r="O271" s="3">
        <v>13</v>
      </c>
      <c r="P271" s="3"/>
      <c r="Q271" s="3">
        <v>2</v>
      </c>
      <c r="R271" s="3">
        <v>12</v>
      </c>
      <c r="S271" s="5">
        <v>2.8</v>
      </c>
      <c r="T271" s="5">
        <v>2.7</v>
      </c>
      <c r="U271" s="4">
        <v>0.57999999999999996</v>
      </c>
      <c r="V271" s="4">
        <v>0.45</v>
      </c>
      <c r="W271" s="4">
        <v>0.57999999999999996</v>
      </c>
      <c r="X271" s="4">
        <v>0.55000000000000004</v>
      </c>
      <c r="Y271" s="4">
        <v>0.17</v>
      </c>
      <c r="Z271" s="4">
        <v>0.55000000000000004</v>
      </c>
      <c r="AA271" s="3">
        <v>7</v>
      </c>
      <c r="AB271" s="3">
        <v>5</v>
      </c>
      <c r="AC271" s="5">
        <v>4.0999999999999996</v>
      </c>
      <c r="AD271" s="4">
        <v>1</v>
      </c>
      <c r="AE271" s="4">
        <v>0.82</v>
      </c>
      <c r="AF271" s="4">
        <v>0.71</v>
      </c>
      <c r="AG271" s="4">
        <v>0.18</v>
      </c>
      <c r="AH271" s="4">
        <v>0.52</v>
      </c>
      <c r="AI271" s="4">
        <v>0</v>
      </c>
      <c r="AJ271" t="s">
        <v>60</v>
      </c>
      <c r="AK271" t="s">
        <v>86</v>
      </c>
      <c r="AL271" t="s">
        <v>61</v>
      </c>
      <c r="AM271" t="s">
        <v>73</v>
      </c>
      <c r="AN271" t="s">
        <v>64</v>
      </c>
      <c r="AO271" t="s">
        <v>74</v>
      </c>
      <c r="AP271" t="s">
        <v>75</v>
      </c>
    </row>
    <row r="272" spans="1:42" x14ac:dyDescent="0.25">
      <c r="A272" t="str">
        <f>HYPERLINK("HTTP://10.0.1.74/krs/503/detail","/krs/503")</f>
        <v>/krs/503</v>
      </c>
      <c r="B272">
        <v>503</v>
      </c>
      <c r="C272" t="s">
        <v>363</v>
      </c>
      <c r="D272" t="s">
        <v>310</v>
      </c>
      <c r="E272" t="s">
        <v>125</v>
      </c>
      <c r="F272" t="s">
        <v>108</v>
      </c>
      <c r="G272" s="1">
        <v>43243</v>
      </c>
      <c r="H272" t="s">
        <v>127</v>
      </c>
      <c r="I272" t="s">
        <v>51</v>
      </c>
      <c r="K272" s="3">
        <v>253</v>
      </c>
      <c r="L272" s="3">
        <v>211</v>
      </c>
      <c r="M272" s="3">
        <v>464</v>
      </c>
      <c r="N272" s="4">
        <v>0.55000000000000004</v>
      </c>
      <c r="O272" s="3">
        <v>16</v>
      </c>
      <c r="P272" s="3"/>
      <c r="Q272" s="3">
        <v>3</v>
      </c>
      <c r="R272" s="3">
        <v>16</v>
      </c>
      <c r="S272" s="5">
        <v>2.8</v>
      </c>
      <c r="T272" s="5">
        <v>2.9</v>
      </c>
      <c r="U272" s="4">
        <v>0.57999999999999996</v>
      </c>
      <c r="V272" s="4">
        <v>0.55000000000000004</v>
      </c>
      <c r="W272" s="4">
        <v>0.69</v>
      </c>
      <c r="X272" s="4">
        <v>0.72</v>
      </c>
      <c r="Y272" s="4">
        <v>0.19</v>
      </c>
      <c r="Z272" s="4">
        <v>0.45</v>
      </c>
      <c r="AA272" s="3">
        <v>8</v>
      </c>
      <c r="AB272" s="3">
        <v>4</v>
      </c>
      <c r="AC272" s="5">
        <v>3.8</v>
      </c>
      <c r="AD272" s="4">
        <v>1</v>
      </c>
      <c r="AE272" s="4">
        <v>0.76</v>
      </c>
      <c r="AF272" s="4">
        <v>0.5</v>
      </c>
      <c r="AG272" s="4">
        <v>0.24</v>
      </c>
      <c r="AH272" s="4">
        <v>0.63</v>
      </c>
      <c r="AI272" s="4">
        <v>0.47</v>
      </c>
      <c r="AJ272" t="s">
        <v>72</v>
      </c>
      <c r="AK272" t="s">
        <v>86</v>
      </c>
      <c r="AL272" t="s">
        <v>61</v>
      </c>
      <c r="AM272" t="s">
        <v>73</v>
      </c>
      <c r="AN272" t="s">
        <v>64</v>
      </c>
      <c r="AO272" t="s">
        <v>74</v>
      </c>
      <c r="AP272" t="s">
        <v>75</v>
      </c>
    </row>
    <row r="273" spans="1:42" x14ac:dyDescent="0.25">
      <c r="A273" t="str">
        <f>HYPERLINK("HTTP://10.0.1.74/krs/504/detail","/krs/504")</f>
        <v>/krs/504</v>
      </c>
      <c r="B273">
        <v>504</v>
      </c>
      <c r="C273" t="s">
        <v>364</v>
      </c>
      <c r="D273" t="s">
        <v>310</v>
      </c>
      <c r="E273" t="s">
        <v>125</v>
      </c>
      <c r="F273" t="s">
        <v>365</v>
      </c>
      <c r="G273" s="1">
        <v>43234</v>
      </c>
      <c r="H273" t="s">
        <v>127</v>
      </c>
      <c r="I273" t="s">
        <v>51</v>
      </c>
      <c r="K273" s="3">
        <v>607</v>
      </c>
      <c r="L273" s="3">
        <v>716</v>
      </c>
      <c r="M273" s="3">
        <v>1323</v>
      </c>
      <c r="N273" s="4">
        <v>0.46</v>
      </c>
      <c r="O273" s="3">
        <v>49</v>
      </c>
      <c r="P273" s="3"/>
      <c r="Q273" s="3">
        <v>8</v>
      </c>
      <c r="R273" s="3">
        <v>49</v>
      </c>
      <c r="S273" s="5">
        <v>2.6</v>
      </c>
      <c r="T273" s="5">
        <v>2.8</v>
      </c>
      <c r="U273" s="4">
        <v>0.56999999999999995</v>
      </c>
      <c r="V273" s="4">
        <v>0.46</v>
      </c>
      <c r="W273" s="4">
        <v>0.59</v>
      </c>
      <c r="X273" s="4">
        <v>0.59</v>
      </c>
      <c r="Y273" s="4">
        <v>0.16</v>
      </c>
      <c r="Z273" s="4">
        <v>0.54</v>
      </c>
      <c r="AA273" s="3">
        <v>25</v>
      </c>
      <c r="AB273" s="3">
        <v>14</v>
      </c>
      <c r="AC273" s="5">
        <v>3.9</v>
      </c>
      <c r="AD273" s="4">
        <v>1</v>
      </c>
      <c r="AE273" s="4">
        <v>0.78</v>
      </c>
      <c r="AF273" s="4">
        <v>0.56000000000000005</v>
      </c>
      <c r="AG273" s="4">
        <v>0.22</v>
      </c>
      <c r="AH273" s="4">
        <v>0.53</v>
      </c>
      <c r="AI273" s="4">
        <v>0.37</v>
      </c>
      <c r="AJ273" t="s">
        <v>60</v>
      </c>
      <c r="AK273" t="s">
        <v>86</v>
      </c>
      <c r="AL273" t="s">
        <v>61</v>
      </c>
      <c r="AM273" t="s">
        <v>73</v>
      </c>
      <c r="AN273" t="s">
        <v>64</v>
      </c>
      <c r="AO273" t="s">
        <v>74</v>
      </c>
      <c r="AP273" t="s">
        <v>75</v>
      </c>
    </row>
    <row r="274" spans="1:42" x14ac:dyDescent="0.25">
      <c r="A274" t="str">
        <f>HYPERLINK("HTTP://10.0.1.74/krs/505/detail","/krs/505")</f>
        <v>/krs/505</v>
      </c>
      <c r="B274">
        <v>505</v>
      </c>
      <c r="C274" t="s">
        <v>366</v>
      </c>
      <c r="D274" t="s">
        <v>310</v>
      </c>
      <c r="E274" t="s">
        <v>125</v>
      </c>
      <c r="F274" t="s">
        <v>76</v>
      </c>
      <c r="G274" s="1">
        <v>43239</v>
      </c>
      <c r="H274" t="s">
        <v>127</v>
      </c>
      <c r="I274" t="s">
        <v>51</v>
      </c>
      <c r="K274" s="3">
        <v>360</v>
      </c>
      <c r="L274" s="3">
        <v>315</v>
      </c>
      <c r="M274" s="3">
        <v>675</v>
      </c>
      <c r="N274" s="4">
        <v>0.53</v>
      </c>
      <c r="O274" s="3">
        <v>25</v>
      </c>
      <c r="P274" s="3"/>
      <c r="Q274" s="3">
        <v>3</v>
      </c>
      <c r="R274" s="3">
        <v>24</v>
      </c>
      <c r="S274" s="5">
        <v>3</v>
      </c>
      <c r="T274" s="5">
        <v>3</v>
      </c>
      <c r="U274" s="4">
        <v>0.62</v>
      </c>
      <c r="V274" s="4">
        <v>0.53</v>
      </c>
      <c r="W274" s="4">
        <v>0.83</v>
      </c>
      <c r="X274" s="4">
        <v>0.6</v>
      </c>
      <c r="Y274" s="4">
        <v>0.13</v>
      </c>
      <c r="Z274" s="4">
        <v>0.47</v>
      </c>
      <c r="AA274" s="3">
        <v>22</v>
      </c>
      <c r="AB274" s="3">
        <v>19</v>
      </c>
      <c r="AC274" s="5">
        <v>4.5</v>
      </c>
      <c r="AD274" s="4">
        <v>1</v>
      </c>
      <c r="AE274" s="4">
        <v>0.89</v>
      </c>
      <c r="AF274" s="4">
        <v>0.86</v>
      </c>
      <c r="AG274" s="4">
        <v>0.11</v>
      </c>
      <c r="AH274" s="4">
        <v>0.65</v>
      </c>
      <c r="AI274" s="4">
        <v>0.41</v>
      </c>
      <c r="AJ274" t="s">
        <v>72</v>
      </c>
      <c r="AK274" t="s">
        <v>86</v>
      </c>
      <c r="AL274" t="s">
        <v>62</v>
      </c>
      <c r="AM274" t="s">
        <v>73</v>
      </c>
      <c r="AN274" t="s">
        <v>64</v>
      </c>
      <c r="AO274" t="s">
        <v>74</v>
      </c>
      <c r="AP274" t="s">
        <v>75</v>
      </c>
    </row>
    <row r="275" spans="1:42" x14ac:dyDescent="0.25">
      <c r="A275" t="str">
        <f>HYPERLINK("HTTP://10.0.1.74/krs/506/detail","/krs/506")</f>
        <v>/krs/506</v>
      </c>
      <c r="B275">
        <v>506</v>
      </c>
      <c r="C275" t="s">
        <v>367</v>
      </c>
      <c r="D275" t="s">
        <v>310</v>
      </c>
      <c r="E275" t="s">
        <v>125</v>
      </c>
      <c r="F275" t="s">
        <v>112</v>
      </c>
      <c r="G275" s="1">
        <v>43238</v>
      </c>
      <c r="H275" t="s">
        <v>127</v>
      </c>
      <c r="I275" t="s">
        <v>51</v>
      </c>
      <c r="K275" s="3">
        <v>355</v>
      </c>
      <c r="L275" s="3">
        <v>215</v>
      </c>
      <c r="M275" s="3">
        <v>570</v>
      </c>
      <c r="N275" s="4">
        <v>0.62</v>
      </c>
      <c r="O275" s="3">
        <v>30</v>
      </c>
      <c r="P275" s="3"/>
      <c r="Q275" s="3">
        <v>10</v>
      </c>
      <c r="R275" s="3">
        <v>30</v>
      </c>
      <c r="S275" s="5">
        <v>3.2</v>
      </c>
      <c r="T275" s="5">
        <v>3.2</v>
      </c>
      <c r="U275" s="4">
        <v>0.65</v>
      </c>
      <c r="V275" s="4">
        <v>0.62</v>
      </c>
      <c r="W275" s="4">
        <v>0.87</v>
      </c>
      <c r="X275" s="4">
        <v>0.83</v>
      </c>
      <c r="Y275" s="4">
        <v>0.33</v>
      </c>
      <c r="Z275" s="4">
        <v>0.38</v>
      </c>
      <c r="AA275" s="3">
        <v>30</v>
      </c>
      <c r="AB275" s="3">
        <v>16</v>
      </c>
      <c r="AC275" s="5">
        <v>3.7</v>
      </c>
      <c r="AD275" s="4">
        <v>1</v>
      </c>
      <c r="AE275" s="4">
        <v>0.75</v>
      </c>
      <c r="AF275" s="4">
        <v>0.53</v>
      </c>
      <c r="AG275" s="4">
        <v>0.25</v>
      </c>
      <c r="AH275" s="4">
        <v>0.71</v>
      </c>
      <c r="AI275" s="4">
        <v>0.53</v>
      </c>
      <c r="AJ275" t="s">
        <v>72</v>
      </c>
      <c r="AK275" t="s">
        <v>61</v>
      </c>
      <c r="AL275" t="s">
        <v>62</v>
      </c>
      <c r="AM275" t="s">
        <v>73</v>
      </c>
      <c r="AN275" t="s">
        <v>64</v>
      </c>
      <c r="AO275" t="s">
        <v>74</v>
      </c>
      <c r="AP275" t="s">
        <v>75</v>
      </c>
    </row>
    <row r="276" spans="1:42" x14ac:dyDescent="0.25">
      <c r="A276" t="str">
        <f>HYPERLINK("HTTP://10.0.1.74/krs/508/detail","/krs/508")</f>
        <v>/krs/508</v>
      </c>
      <c r="B276">
        <v>508</v>
      </c>
      <c r="C276" t="s">
        <v>368</v>
      </c>
      <c r="D276" t="s">
        <v>310</v>
      </c>
      <c r="E276" t="s">
        <v>125</v>
      </c>
      <c r="F276" t="s">
        <v>55</v>
      </c>
      <c r="G276" s="1">
        <v>43239</v>
      </c>
      <c r="H276" t="s">
        <v>127</v>
      </c>
      <c r="I276" t="s">
        <v>51</v>
      </c>
      <c r="K276" s="3">
        <v>178</v>
      </c>
      <c r="L276" s="3">
        <v>126</v>
      </c>
      <c r="M276" s="3">
        <v>304</v>
      </c>
      <c r="N276" s="4">
        <v>0.59</v>
      </c>
      <c r="O276" s="3">
        <v>16</v>
      </c>
      <c r="P276" s="3"/>
      <c r="Q276" s="3">
        <v>5</v>
      </c>
      <c r="R276" s="3">
        <v>15</v>
      </c>
      <c r="S276" s="5">
        <v>3.2</v>
      </c>
      <c r="T276" s="5">
        <v>3.2</v>
      </c>
      <c r="U276" s="4">
        <v>0.68</v>
      </c>
      <c r="V276" s="4">
        <v>0.59</v>
      </c>
      <c r="W276" s="4">
        <v>0.93</v>
      </c>
      <c r="X276" s="4">
        <v>0.78</v>
      </c>
      <c r="Y276" s="4">
        <v>0.33</v>
      </c>
      <c r="Z276" s="4">
        <v>0.41</v>
      </c>
      <c r="AA276" s="3">
        <v>15</v>
      </c>
      <c r="AB276" s="3">
        <v>12</v>
      </c>
      <c r="AC276" s="5">
        <v>3.8</v>
      </c>
      <c r="AD276" s="4">
        <v>1</v>
      </c>
      <c r="AE276" s="4">
        <v>0.76</v>
      </c>
      <c r="AF276" s="4">
        <v>0.8</v>
      </c>
      <c r="AG276" s="4">
        <v>0.24</v>
      </c>
      <c r="AH276" s="4">
        <v>0.69</v>
      </c>
      <c r="AI276" s="4">
        <v>0.42</v>
      </c>
      <c r="AJ276" t="s">
        <v>72</v>
      </c>
      <c r="AK276" t="s">
        <v>86</v>
      </c>
      <c r="AL276" t="s">
        <v>62</v>
      </c>
      <c r="AM276" t="s">
        <v>73</v>
      </c>
      <c r="AN276" t="s">
        <v>64</v>
      </c>
      <c r="AO276" t="s">
        <v>74</v>
      </c>
      <c r="AP276" t="s">
        <v>75</v>
      </c>
    </row>
    <row r="277" spans="1:42" x14ac:dyDescent="0.25">
      <c r="A277" t="str">
        <f>HYPERLINK("HTTP://10.0.1.74/krs/510/detail","/krs/510")</f>
        <v>/krs/510</v>
      </c>
      <c r="B277">
        <v>510</v>
      </c>
      <c r="C277" t="s">
        <v>369</v>
      </c>
      <c r="D277" t="s">
        <v>310</v>
      </c>
      <c r="E277" t="s">
        <v>68</v>
      </c>
      <c r="F277" t="s">
        <v>260</v>
      </c>
      <c r="G277" s="1">
        <v>43208.570451388892</v>
      </c>
      <c r="H277" t="s">
        <v>275</v>
      </c>
      <c r="I277" t="s">
        <v>51</v>
      </c>
      <c r="J277" t="s">
        <v>322</v>
      </c>
      <c r="K277" s="3">
        <v>777</v>
      </c>
      <c r="L277" s="3">
        <v>103</v>
      </c>
      <c r="M277" s="3">
        <v>880</v>
      </c>
      <c r="N277" s="4">
        <v>0.88</v>
      </c>
      <c r="O277" s="3">
        <v>44</v>
      </c>
      <c r="P277" s="3"/>
      <c r="Q277" s="3">
        <v>29</v>
      </c>
      <c r="R277" s="3">
        <v>44</v>
      </c>
      <c r="S277" s="5">
        <v>4.5</v>
      </c>
      <c r="T277" s="5">
        <v>3.4</v>
      </c>
      <c r="U277" s="4">
        <v>0.67</v>
      </c>
      <c r="V277" s="4">
        <v>0.88</v>
      </c>
      <c r="W277" s="4">
        <v>0.7</v>
      </c>
      <c r="X277" s="4">
        <v>1.0900000000000001</v>
      </c>
      <c r="Y277" s="4">
        <v>0.66</v>
      </c>
      <c r="Z277" s="4">
        <v>0.12</v>
      </c>
      <c r="AA277" s="3">
        <v>43</v>
      </c>
      <c r="AB277" s="3">
        <v>30</v>
      </c>
      <c r="AC277" s="5">
        <v>4.0999999999999996</v>
      </c>
      <c r="AD277" s="4">
        <v>1</v>
      </c>
      <c r="AE277" s="4">
        <v>0.81</v>
      </c>
      <c r="AF277" s="4">
        <v>0.7</v>
      </c>
      <c r="AG277" s="4">
        <v>0.19</v>
      </c>
      <c r="AH277" s="4">
        <v>0.88</v>
      </c>
      <c r="AI277" s="4">
        <v>0</v>
      </c>
      <c r="AJ277" t="s">
        <v>60</v>
      </c>
      <c r="AK277" t="s">
        <v>62</v>
      </c>
      <c r="AL277" t="s">
        <v>62</v>
      </c>
      <c r="AM277" t="s">
        <v>63</v>
      </c>
      <c r="AN277" t="s">
        <v>97</v>
      </c>
      <c r="AO277" t="s">
        <v>79</v>
      </c>
      <c r="AP277" t="s">
        <v>66</v>
      </c>
    </row>
    <row r="278" spans="1:42" x14ac:dyDescent="0.25">
      <c r="A278" t="str">
        <f>HYPERLINK("HTTP://10.0.1.74/krs/511/detail","/krs/511")</f>
        <v>/krs/511</v>
      </c>
      <c r="B278">
        <v>511</v>
      </c>
      <c r="C278" t="s">
        <v>370</v>
      </c>
      <c r="D278" t="s">
        <v>310</v>
      </c>
      <c r="E278" t="s">
        <v>94</v>
      </c>
      <c r="F278" t="s">
        <v>115</v>
      </c>
      <c r="G278" s="1">
        <v>43208.598981284726</v>
      </c>
      <c r="H278" t="s">
        <v>277</v>
      </c>
      <c r="I278" t="s">
        <v>51</v>
      </c>
      <c r="K278" s="3"/>
      <c r="L278" s="3"/>
      <c r="M278" s="3"/>
      <c r="N278" s="4"/>
      <c r="O278" s="3"/>
      <c r="P278" s="3"/>
      <c r="Q278" s="3"/>
      <c r="R278" s="3"/>
      <c r="S278" s="5"/>
      <c r="T278" s="5"/>
      <c r="U278" s="4"/>
      <c r="V278" s="4"/>
      <c r="W278" s="4"/>
      <c r="X278" s="4"/>
      <c r="Y278" s="4"/>
      <c r="Z278" s="4"/>
      <c r="AA278" s="3"/>
      <c r="AB278" s="3"/>
      <c r="AC278" s="5"/>
      <c r="AD278" s="4"/>
      <c r="AE278" s="4"/>
      <c r="AF278" s="4"/>
      <c r="AG278" s="4"/>
      <c r="AH278" s="4"/>
      <c r="AI278" s="4"/>
      <c r="AJ278" t="s">
        <v>52</v>
      </c>
      <c r="AK278" t="s">
        <v>52</v>
      </c>
      <c r="AL278" t="s">
        <v>52</v>
      </c>
      <c r="AM278" t="s">
        <v>52</v>
      </c>
      <c r="AN278" t="s">
        <v>52</v>
      </c>
      <c r="AO278" t="s">
        <v>52</v>
      </c>
      <c r="AP278" t="s">
        <v>52</v>
      </c>
    </row>
    <row r="279" spans="1:42" x14ac:dyDescent="0.25">
      <c r="A279" t="str">
        <f>HYPERLINK("HTTP://10.0.1.74/krs/513/detail","/krs/513")</f>
        <v>/krs/513</v>
      </c>
      <c r="B279">
        <v>513</v>
      </c>
      <c r="C279" t="s">
        <v>371</v>
      </c>
      <c r="D279" t="s">
        <v>81</v>
      </c>
      <c r="E279" t="s">
        <v>54</v>
      </c>
      <c r="F279" t="s">
        <v>107</v>
      </c>
      <c r="G279" s="1">
        <v>43208</v>
      </c>
      <c r="H279" t="s">
        <v>56</v>
      </c>
      <c r="I279" t="s">
        <v>57</v>
      </c>
      <c r="J279" t="s">
        <v>372</v>
      </c>
      <c r="K279" s="3">
        <v>248</v>
      </c>
      <c r="L279" s="3">
        <v>92</v>
      </c>
      <c r="M279" s="3">
        <v>340</v>
      </c>
      <c r="N279" s="4">
        <v>0.73</v>
      </c>
      <c r="O279" s="3">
        <v>20</v>
      </c>
      <c r="P279" s="3"/>
      <c r="Q279" s="3">
        <v>17</v>
      </c>
      <c r="R279" s="3">
        <v>20</v>
      </c>
      <c r="S279" s="5">
        <v>3.5</v>
      </c>
      <c r="T279" s="5">
        <v>4</v>
      </c>
      <c r="U279" s="4">
        <v>0.79</v>
      </c>
      <c r="V279" s="4">
        <v>0.73</v>
      </c>
      <c r="W279" s="4">
        <v>1</v>
      </c>
      <c r="X279" s="4">
        <v>0.88</v>
      </c>
      <c r="Y279" s="4">
        <v>0.85</v>
      </c>
      <c r="Z279" s="4">
        <v>0.27</v>
      </c>
      <c r="AA279" s="3">
        <v>18</v>
      </c>
      <c r="AB279" s="3">
        <v>13</v>
      </c>
      <c r="AC279" s="5">
        <v>4.0999999999999996</v>
      </c>
      <c r="AD279" s="4">
        <v>1</v>
      </c>
      <c r="AE279" s="4">
        <v>0.83</v>
      </c>
      <c r="AF279" s="4">
        <v>0.72</v>
      </c>
      <c r="AG279" s="4">
        <v>0.17</v>
      </c>
      <c r="AH279" s="4">
        <v>0.89</v>
      </c>
      <c r="AI279" s="4">
        <v>0.55000000000000004</v>
      </c>
      <c r="AJ279" t="s">
        <v>72</v>
      </c>
      <c r="AK279" t="s">
        <v>62</v>
      </c>
      <c r="AL279" t="s">
        <v>62</v>
      </c>
      <c r="AM279" t="s">
        <v>104</v>
      </c>
      <c r="AN279" t="s">
        <v>64</v>
      </c>
      <c r="AO279" t="s">
        <v>74</v>
      </c>
      <c r="AP279" t="s">
        <v>75</v>
      </c>
    </row>
    <row r="280" spans="1:42" x14ac:dyDescent="0.25">
      <c r="A280" t="str">
        <f>HYPERLINK("HTTP://10.0.1.74/krs/514/detail","/krs/514")</f>
        <v>/krs/514</v>
      </c>
      <c r="B280">
        <v>514</v>
      </c>
      <c r="C280" t="s">
        <v>309</v>
      </c>
      <c r="D280" t="s">
        <v>310</v>
      </c>
      <c r="E280" t="s">
        <v>87</v>
      </c>
      <c r="F280" t="s">
        <v>196</v>
      </c>
      <c r="G280" s="1">
        <v>43208.519548611112</v>
      </c>
      <c r="H280" t="s">
        <v>144</v>
      </c>
      <c r="I280" t="s">
        <v>51</v>
      </c>
      <c r="J280" t="s">
        <v>373</v>
      </c>
      <c r="K280" s="3">
        <v>859</v>
      </c>
      <c r="L280" s="3">
        <v>383</v>
      </c>
      <c r="M280" s="3">
        <v>1242</v>
      </c>
      <c r="N280" s="4">
        <v>0.69</v>
      </c>
      <c r="O280" s="3">
        <v>46</v>
      </c>
      <c r="P280" s="3"/>
      <c r="Q280" s="3">
        <v>31</v>
      </c>
      <c r="R280" s="3">
        <v>46</v>
      </c>
      <c r="S280" s="5">
        <v>3.5</v>
      </c>
      <c r="T280" s="5">
        <v>3.8</v>
      </c>
      <c r="U280" s="4">
        <v>0.75</v>
      </c>
      <c r="V280" s="4">
        <v>0.69</v>
      </c>
      <c r="W280" s="4">
        <v>1</v>
      </c>
      <c r="X280" s="4">
        <v>0.9</v>
      </c>
      <c r="Y280" s="4">
        <v>0.67</v>
      </c>
      <c r="Z280" s="4">
        <v>0.31</v>
      </c>
      <c r="AA280" s="3">
        <v>44</v>
      </c>
      <c r="AB280" s="3">
        <v>30</v>
      </c>
      <c r="AC280" s="5">
        <v>3.9</v>
      </c>
      <c r="AD280" s="4">
        <v>1</v>
      </c>
      <c r="AE280" s="4">
        <v>0.77</v>
      </c>
      <c r="AF280" s="4">
        <v>0.68</v>
      </c>
      <c r="AG280" s="4">
        <v>0.23</v>
      </c>
      <c r="AH280" s="4">
        <v>0.67</v>
      </c>
      <c r="AI280" s="4">
        <v>0.51</v>
      </c>
      <c r="AJ280" t="s">
        <v>72</v>
      </c>
      <c r="AK280" t="s">
        <v>61</v>
      </c>
      <c r="AL280" t="s">
        <v>62</v>
      </c>
      <c r="AM280" t="s">
        <v>104</v>
      </c>
      <c r="AN280" t="s">
        <v>97</v>
      </c>
      <c r="AO280" t="s">
        <v>65</v>
      </c>
      <c r="AP280" t="s">
        <v>75</v>
      </c>
    </row>
    <row r="281" spans="1:42" x14ac:dyDescent="0.25">
      <c r="A281" t="str">
        <f>HYPERLINK("HTTP://10.0.1.74/krs/515/detail","/krs/515")</f>
        <v>/krs/515</v>
      </c>
      <c r="B281">
        <v>515</v>
      </c>
      <c r="C281" t="s">
        <v>374</v>
      </c>
      <c r="D281" t="s">
        <v>81</v>
      </c>
      <c r="E281" t="s">
        <v>54</v>
      </c>
      <c r="F281" t="s">
        <v>99</v>
      </c>
      <c r="G281" s="1">
        <v>43208.879224537035</v>
      </c>
      <c r="H281" t="s">
        <v>121</v>
      </c>
      <c r="I281" t="s">
        <v>51</v>
      </c>
      <c r="J281" t="s">
        <v>375</v>
      </c>
      <c r="K281" s="3">
        <v>228</v>
      </c>
      <c r="L281" s="3">
        <v>71</v>
      </c>
      <c r="M281" s="3">
        <v>299</v>
      </c>
      <c r="N281" s="4">
        <v>0.76</v>
      </c>
      <c r="O281" s="3">
        <v>23</v>
      </c>
      <c r="P281" s="3"/>
      <c r="Q281" s="3">
        <v>18</v>
      </c>
      <c r="R281" s="3">
        <v>23</v>
      </c>
      <c r="S281" s="5">
        <v>3.7</v>
      </c>
      <c r="T281" s="5">
        <v>3.9</v>
      </c>
      <c r="U281" s="4">
        <v>0.78</v>
      </c>
      <c r="V281" s="4">
        <v>0.76</v>
      </c>
      <c r="W281" s="4">
        <v>0.96</v>
      </c>
      <c r="X281" s="4">
        <v>0.76</v>
      </c>
      <c r="Y281" s="4">
        <v>0.78</v>
      </c>
      <c r="Z281" s="4">
        <v>0.24</v>
      </c>
      <c r="AA281" s="3">
        <v>1</v>
      </c>
      <c r="AB281" s="3">
        <v>1</v>
      </c>
      <c r="AC281" s="5">
        <v>5</v>
      </c>
      <c r="AD281" s="4">
        <v>1</v>
      </c>
      <c r="AE281" s="4">
        <v>1</v>
      </c>
      <c r="AF281" s="4">
        <v>1</v>
      </c>
      <c r="AG281" s="4">
        <v>0</v>
      </c>
      <c r="AH281" s="4">
        <v>0.83</v>
      </c>
      <c r="AI281" s="4">
        <v>0.54</v>
      </c>
      <c r="AJ281" t="s">
        <v>72</v>
      </c>
      <c r="AK281" t="s">
        <v>62</v>
      </c>
      <c r="AL281" t="s">
        <v>62</v>
      </c>
      <c r="AM281" t="s">
        <v>73</v>
      </c>
      <c r="AN281" t="s">
        <v>64</v>
      </c>
      <c r="AO281" t="s">
        <v>74</v>
      </c>
      <c r="AP281" t="s">
        <v>75</v>
      </c>
    </row>
    <row r="282" spans="1:42" x14ac:dyDescent="0.25">
      <c r="A282" t="str">
        <f>HYPERLINK("HTTP://10.0.1.74/krs/516/detail","/krs/516")</f>
        <v>/krs/516</v>
      </c>
      <c r="B282">
        <v>516</v>
      </c>
      <c r="C282" t="s">
        <v>354</v>
      </c>
      <c r="D282" t="s">
        <v>310</v>
      </c>
      <c r="E282" t="s">
        <v>98</v>
      </c>
      <c r="F282" t="s">
        <v>336</v>
      </c>
      <c r="G282" s="1">
        <v>43242</v>
      </c>
      <c r="H282" t="s">
        <v>190</v>
      </c>
      <c r="I282" t="s">
        <v>57</v>
      </c>
      <c r="K282" s="3">
        <v>226</v>
      </c>
      <c r="L282" s="3">
        <v>68</v>
      </c>
      <c r="M282" s="3">
        <v>294</v>
      </c>
      <c r="N282" s="4">
        <v>0.77</v>
      </c>
      <c r="O282" s="3">
        <v>14</v>
      </c>
      <c r="P282" s="3"/>
      <c r="Q282" s="3">
        <v>10</v>
      </c>
      <c r="R282" s="3">
        <v>14</v>
      </c>
      <c r="S282" s="5">
        <v>4</v>
      </c>
      <c r="T282" s="5">
        <v>4</v>
      </c>
      <c r="U282" s="4">
        <v>0.8</v>
      </c>
      <c r="V282" s="4">
        <v>0.77</v>
      </c>
      <c r="W282" s="4">
        <v>1</v>
      </c>
      <c r="X282" s="4">
        <v>0.93</v>
      </c>
      <c r="Y282" s="4">
        <v>0.71</v>
      </c>
      <c r="Z282" s="4">
        <v>0.23</v>
      </c>
      <c r="AA282" s="3">
        <v>7</v>
      </c>
      <c r="AB282" s="3">
        <v>4</v>
      </c>
      <c r="AC282" s="5">
        <v>4.0999999999999996</v>
      </c>
      <c r="AD282" s="4">
        <v>1</v>
      </c>
      <c r="AE282" s="4">
        <v>0.83</v>
      </c>
      <c r="AF282" s="4">
        <v>0.56999999999999995</v>
      </c>
      <c r="AG282" s="4">
        <v>0.17</v>
      </c>
      <c r="AH282" s="4">
        <v>0.73</v>
      </c>
      <c r="AI282" s="4">
        <v>0.83</v>
      </c>
      <c r="AJ282" t="s">
        <v>72</v>
      </c>
      <c r="AK282" t="s">
        <v>62</v>
      </c>
      <c r="AL282" t="s">
        <v>62</v>
      </c>
      <c r="AM282" t="s">
        <v>104</v>
      </c>
      <c r="AN282" t="s">
        <v>64</v>
      </c>
      <c r="AO282" t="s">
        <v>65</v>
      </c>
      <c r="AP282" t="s">
        <v>66</v>
      </c>
    </row>
    <row r="283" spans="1:42" x14ac:dyDescent="0.25">
      <c r="A283" t="str">
        <f>HYPERLINK("HTTP://10.0.1.74/krs/517/detail","/krs/517")</f>
        <v>/krs/517</v>
      </c>
      <c r="B283">
        <v>517</v>
      </c>
      <c r="C283" t="s">
        <v>376</v>
      </c>
      <c r="D283" t="s">
        <v>310</v>
      </c>
      <c r="E283" t="s">
        <v>98</v>
      </c>
      <c r="F283" t="s">
        <v>126</v>
      </c>
      <c r="G283" s="1">
        <v>43231</v>
      </c>
      <c r="H283" t="s">
        <v>190</v>
      </c>
      <c r="I283" t="s">
        <v>51</v>
      </c>
      <c r="K283" s="3">
        <v>577</v>
      </c>
      <c r="L283" s="3">
        <v>1199</v>
      </c>
      <c r="M283" s="3">
        <v>1776</v>
      </c>
      <c r="N283" s="4">
        <v>0.32</v>
      </c>
      <c r="O283" s="3">
        <v>74</v>
      </c>
      <c r="P283" s="3"/>
      <c r="Q283" s="3">
        <v>20</v>
      </c>
      <c r="R283" s="3">
        <v>34</v>
      </c>
      <c r="S283" s="5">
        <v>3.7</v>
      </c>
      <c r="T283" s="5">
        <v>2.2000000000000002</v>
      </c>
      <c r="U283" s="4">
        <v>0.96</v>
      </c>
      <c r="V283" s="4">
        <v>0.32</v>
      </c>
      <c r="W283" s="4">
        <v>-0.21</v>
      </c>
      <c r="X283" s="4">
        <v>0.4</v>
      </c>
      <c r="Y283" s="4">
        <v>0.59</v>
      </c>
      <c r="Z283" s="4">
        <v>0.68</v>
      </c>
      <c r="AA283" s="3">
        <v>47</v>
      </c>
      <c r="AB283" s="3">
        <v>30</v>
      </c>
      <c r="AC283" s="5">
        <v>4</v>
      </c>
      <c r="AD283" s="4">
        <v>1</v>
      </c>
      <c r="AE283" s="4">
        <v>0.8</v>
      </c>
      <c r="AF283" s="4">
        <v>0.64</v>
      </c>
      <c r="AG283" s="4">
        <v>0.2</v>
      </c>
      <c r="AH283" s="4">
        <v>0.27</v>
      </c>
      <c r="AI283" s="4">
        <v>0.4</v>
      </c>
      <c r="AJ283" t="s">
        <v>60</v>
      </c>
      <c r="AK283" t="s">
        <v>86</v>
      </c>
      <c r="AL283" t="s">
        <v>86</v>
      </c>
      <c r="AM283" t="s">
        <v>73</v>
      </c>
      <c r="AN283" t="s">
        <v>97</v>
      </c>
      <c r="AO283" t="s">
        <v>74</v>
      </c>
      <c r="AP283" t="s">
        <v>75</v>
      </c>
    </row>
    <row r="284" spans="1:42" x14ac:dyDescent="0.25">
      <c r="A284" t="str">
        <f>HYPERLINK("HTTP://10.0.1.74/krs/518/detail","/krs/518")</f>
        <v>/krs/518</v>
      </c>
      <c r="B284">
        <v>518</v>
      </c>
      <c r="C284" t="s">
        <v>377</v>
      </c>
      <c r="D284" t="s">
        <v>310</v>
      </c>
      <c r="E284" t="s">
        <v>94</v>
      </c>
      <c r="F284" t="s">
        <v>335</v>
      </c>
      <c r="G284" s="1">
        <v>43209.344409722224</v>
      </c>
      <c r="H284" t="s">
        <v>96</v>
      </c>
      <c r="I284" t="s">
        <v>57</v>
      </c>
      <c r="K284" s="3">
        <v>2326</v>
      </c>
      <c r="L284" s="3">
        <v>806</v>
      </c>
      <c r="M284" s="3">
        <v>3132</v>
      </c>
      <c r="N284" s="4">
        <v>0.74</v>
      </c>
      <c r="O284" s="3">
        <v>108</v>
      </c>
      <c r="P284" s="3"/>
      <c r="Q284" s="3">
        <v>77</v>
      </c>
      <c r="R284" s="3">
        <v>107</v>
      </c>
      <c r="S284" s="5">
        <v>3.8</v>
      </c>
      <c r="T284" s="5">
        <v>3.8</v>
      </c>
      <c r="U284" s="4">
        <v>0.78</v>
      </c>
      <c r="V284" s="4">
        <v>0.74</v>
      </c>
      <c r="W284" s="4">
        <v>0.93</v>
      </c>
      <c r="X284" s="4">
        <v>0</v>
      </c>
      <c r="Y284" s="4">
        <v>0.72</v>
      </c>
      <c r="Z284" s="4">
        <v>0.26</v>
      </c>
      <c r="AA284" s="3">
        <v>0</v>
      </c>
      <c r="AB284" s="3">
        <v>0</v>
      </c>
      <c r="AC284" s="5">
        <v>0</v>
      </c>
      <c r="AD284" s="4">
        <v>0</v>
      </c>
      <c r="AE284" s="4">
        <v>0</v>
      </c>
      <c r="AF284" s="4">
        <v>0</v>
      </c>
      <c r="AG284" s="4">
        <v>1</v>
      </c>
      <c r="AH284" s="4">
        <v>0.74</v>
      </c>
      <c r="AI284" s="4">
        <v>0.79</v>
      </c>
      <c r="AJ284" t="s">
        <v>72</v>
      </c>
      <c r="AK284" t="s">
        <v>62</v>
      </c>
      <c r="AL284" t="s">
        <v>62</v>
      </c>
      <c r="AM284" t="s">
        <v>63</v>
      </c>
      <c r="AN284" t="s">
        <v>64</v>
      </c>
      <c r="AO284" t="s">
        <v>79</v>
      </c>
      <c r="AP284" t="s">
        <v>75</v>
      </c>
    </row>
    <row r="285" spans="1:42" x14ac:dyDescent="0.25">
      <c r="A285" t="str">
        <f>HYPERLINK("HTTP://10.0.1.74/krs/520/detail","/krs/520")</f>
        <v>/krs/520</v>
      </c>
      <c r="B285">
        <v>520</v>
      </c>
      <c r="C285" t="s">
        <v>378</v>
      </c>
      <c r="D285" t="s">
        <v>310</v>
      </c>
      <c r="E285" t="s">
        <v>94</v>
      </c>
      <c r="F285" t="s">
        <v>379</v>
      </c>
      <c r="G285" s="1">
        <v>43209.360914351855</v>
      </c>
      <c r="H285" t="s">
        <v>96</v>
      </c>
      <c r="I285" t="s">
        <v>57</v>
      </c>
      <c r="K285" s="3">
        <v>839</v>
      </c>
      <c r="L285" s="3">
        <v>435</v>
      </c>
      <c r="M285" s="3">
        <v>1274</v>
      </c>
      <c r="N285" s="4">
        <v>0.66</v>
      </c>
      <c r="O285" s="3">
        <v>91</v>
      </c>
      <c r="P285" s="3"/>
      <c r="Q285" s="3">
        <v>44</v>
      </c>
      <c r="R285" s="3">
        <v>91</v>
      </c>
      <c r="S285" s="5">
        <v>3.4</v>
      </c>
      <c r="T285" s="5">
        <v>3.4</v>
      </c>
      <c r="U285" s="4">
        <v>0.67</v>
      </c>
      <c r="V285" s="4">
        <v>0.66</v>
      </c>
      <c r="W285" s="4">
        <v>0.8</v>
      </c>
      <c r="X285" s="4">
        <v>0.85</v>
      </c>
      <c r="Y285" s="4">
        <v>0.48</v>
      </c>
      <c r="Z285" s="4">
        <v>0.34</v>
      </c>
      <c r="AA285" s="3">
        <v>61</v>
      </c>
      <c r="AB285" s="3">
        <v>35</v>
      </c>
      <c r="AC285" s="5">
        <v>3.9</v>
      </c>
      <c r="AD285" s="4">
        <v>1</v>
      </c>
      <c r="AE285" s="4">
        <v>0.78</v>
      </c>
      <c r="AF285" s="4">
        <v>0.56999999999999995</v>
      </c>
      <c r="AG285" s="4">
        <v>0.22</v>
      </c>
      <c r="AH285" s="4">
        <v>0.68</v>
      </c>
      <c r="AI285" s="4">
        <v>0.45</v>
      </c>
      <c r="AJ285" t="s">
        <v>72</v>
      </c>
      <c r="AK285" t="s">
        <v>61</v>
      </c>
      <c r="AL285" t="s">
        <v>62</v>
      </c>
      <c r="AM285" t="s">
        <v>73</v>
      </c>
      <c r="AN285" t="s">
        <v>97</v>
      </c>
      <c r="AO285" t="s">
        <v>74</v>
      </c>
      <c r="AP285" t="s">
        <v>75</v>
      </c>
    </row>
    <row r="286" spans="1:42" x14ac:dyDescent="0.25">
      <c r="A286" t="str">
        <f>HYPERLINK("HTTP://10.0.1.74/krs/521/detail","/krs/521")</f>
        <v>/krs/521</v>
      </c>
      <c r="B286">
        <v>521</v>
      </c>
      <c r="C286" t="s">
        <v>380</v>
      </c>
      <c r="D286" t="s">
        <v>310</v>
      </c>
      <c r="E286" t="s">
        <v>94</v>
      </c>
      <c r="F286" t="s">
        <v>105</v>
      </c>
      <c r="G286" s="1">
        <v>43209.364641203705</v>
      </c>
      <c r="H286" t="s">
        <v>96</v>
      </c>
      <c r="I286" t="s">
        <v>57</v>
      </c>
      <c r="K286" s="3">
        <v>263</v>
      </c>
      <c r="L286" s="3">
        <v>151</v>
      </c>
      <c r="M286" s="3">
        <v>414</v>
      </c>
      <c r="N286" s="4">
        <v>0.64</v>
      </c>
      <c r="O286" s="3">
        <v>23</v>
      </c>
      <c r="P286" s="3"/>
      <c r="Q286" s="3">
        <v>10</v>
      </c>
      <c r="R286" s="3">
        <v>23</v>
      </c>
      <c r="S286" s="5">
        <v>3.3</v>
      </c>
      <c r="T286" s="5">
        <v>3.4</v>
      </c>
      <c r="U286" s="4">
        <v>0.68</v>
      </c>
      <c r="V286" s="4">
        <v>0.64</v>
      </c>
      <c r="W286" s="4">
        <v>0.87</v>
      </c>
      <c r="X286" s="4">
        <v>0.76</v>
      </c>
      <c r="Y286" s="4">
        <v>0.43</v>
      </c>
      <c r="Z286" s="4">
        <v>0.36</v>
      </c>
      <c r="AA286" s="3">
        <v>22</v>
      </c>
      <c r="AB286" s="3">
        <v>18</v>
      </c>
      <c r="AC286" s="5">
        <v>4.2</v>
      </c>
      <c r="AD286" s="4">
        <v>1</v>
      </c>
      <c r="AE286" s="4">
        <v>0.84</v>
      </c>
      <c r="AF286" s="4">
        <v>0.82</v>
      </c>
      <c r="AG286" s="4">
        <v>0.16</v>
      </c>
      <c r="AH286" s="4">
        <v>0.81</v>
      </c>
      <c r="AI286" s="4">
        <v>0.46</v>
      </c>
      <c r="AJ286" t="s">
        <v>72</v>
      </c>
      <c r="AK286" t="s">
        <v>61</v>
      </c>
      <c r="AL286" t="s">
        <v>62</v>
      </c>
      <c r="AM286" t="s">
        <v>73</v>
      </c>
      <c r="AN286" t="s">
        <v>64</v>
      </c>
      <c r="AO286" t="s">
        <v>74</v>
      </c>
      <c r="AP286" t="s">
        <v>75</v>
      </c>
    </row>
    <row r="287" spans="1:42" x14ac:dyDescent="0.25">
      <c r="A287" t="str">
        <f>HYPERLINK("HTTP://10.0.1.74/krs/522/detail","/krs/522")</f>
        <v>/krs/522</v>
      </c>
      <c r="B287">
        <v>522</v>
      </c>
      <c r="C287" t="s">
        <v>381</v>
      </c>
      <c r="D287" t="s">
        <v>310</v>
      </c>
      <c r="E287" t="s">
        <v>94</v>
      </c>
      <c r="F287" t="s">
        <v>112</v>
      </c>
      <c r="G287" s="1">
        <v>43209.368460648147</v>
      </c>
      <c r="H287" t="s">
        <v>96</v>
      </c>
      <c r="I287" t="s">
        <v>57</v>
      </c>
      <c r="K287" s="3">
        <v>312</v>
      </c>
      <c r="L287" s="3">
        <v>168</v>
      </c>
      <c r="M287" s="3">
        <v>480</v>
      </c>
      <c r="N287" s="4">
        <v>0.65</v>
      </c>
      <c r="O287" s="3">
        <v>30</v>
      </c>
      <c r="P287" s="3"/>
      <c r="Q287" s="3">
        <v>18</v>
      </c>
      <c r="R287" s="3">
        <v>30</v>
      </c>
      <c r="S287" s="5">
        <v>3.3</v>
      </c>
      <c r="T287" s="5">
        <v>3.6</v>
      </c>
      <c r="U287" s="4">
        <v>0.72</v>
      </c>
      <c r="V287" s="4">
        <v>0.65</v>
      </c>
      <c r="W287" s="4">
        <v>1</v>
      </c>
      <c r="X287" s="4">
        <v>0.87</v>
      </c>
      <c r="Y287" s="4">
        <v>0.6</v>
      </c>
      <c r="Z287" s="4">
        <v>0.35</v>
      </c>
      <c r="AA287" s="3">
        <v>30</v>
      </c>
      <c r="AB287" s="3">
        <v>19</v>
      </c>
      <c r="AC287" s="5">
        <v>3.8</v>
      </c>
      <c r="AD287" s="4">
        <v>1</v>
      </c>
      <c r="AE287" s="4">
        <v>0.75</v>
      </c>
      <c r="AF287" s="4">
        <v>0.63</v>
      </c>
      <c r="AG287" s="4">
        <v>0.25</v>
      </c>
      <c r="AH287" s="4">
        <v>0.68</v>
      </c>
      <c r="AI287" s="4">
        <v>0</v>
      </c>
      <c r="AJ287" t="s">
        <v>72</v>
      </c>
      <c r="AK287" t="s">
        <v>61</v>
      </c>
      <c r="AL287" t="s">
        <v>62</v>
      </c>
      <c r="AM287" t="s">
        <v>104</v>
      </c>
      <c r="AN287" t="s">
        <v>97</v>
      </c>
      <c r="AO287" t="s">
        <v>74</v>
      </c>
      <c r="AP287" t="s">
        <v>75</v>
      </c>
    </row>
    <row r="288" spans="1:42" x14ac:dyDescent="0.25">
      <c r="A288" t="str">
        <f>HYPERLINK("HTTP://10.0.1.74/krs/523/detail","/krs/523")</f>
        <v>/krs/523</v>
      </c>
      <c r="B288">
        <v>523</v>
      </c>
      <c r="C288" t="s">
        <v>382</v>
      </c>
      <c r="D288" t="s">
        <v>310</v>
      </c>
      <c r="E288" t="s">
        <v>94</v>
      </c>
      <c r="F288" t="s">
        <v>55</v>
      </c>
      <c r="G288" s="1">
        <v>43209.372777777775</v>
      </c>
      <c r="H288" t="s">
        <v>96</v>
      </c>
      <c r="I288" t="s">
        <v>57</v>
      </c>
      <c r="K288" s="3">
        <v>193</v>
      </c>
      <c r="L288" s="3">
        <v>127</v>
      </c>
      <c r="M288" s="3">
        <v>320</v>
      </c>
      <c r="N288" s="4">
        <v>0.6</v>
      </c>
      <c r="O288" s="3">
        <v>16</v>
      </c>
      <c r="P288" s="3"/>
      <c r="Q288" s="3">
        <v>5</v>
      </c>
      <c r="R288" s="3">
        <v>16</v>
      </c>
      <c r="S288" s="5">
        <v>3.3</v>
      </c>
      <c r="T288" s="5">
        <v>3.3</v>
      </c>
      <c r="U288" s="4">
        <v>0.66</v>
      </c>
      <c r="V288" s="4">
        <v>0.6</v>
      </c>
      <c r="W288" s="4">
        <v>0.94</v>
      </c>
      <c r="X288" s="4">
        <v>0.81</v>
      </c>
      <c r="Y288" s="4">
        <v>0.31</v>
      </c>
      <c r="Z288" s="4">
        <v>0.4</v>
      </c>
      <c r="AA288" s="3">
        <v>16</v>
      </c>
      <c r="AB288" s="3">
        <v>11</v>
      </c>
      <c r="AC288" s="5">
        <v>3.7</v>
      </c>
      <c r="AD288" s="4">
        <v>1</v>
      </c>
      <c r="AE288" s="4">
        <v>0.74</v>
      </c>
      <c r="AF288" s="4">
        <v>0.69</v>
      </c>
      <c r="AG288" s="4">
        <v>0.26</v>
      </c>
      <c r="AH288" s="4">
        <v>0.62</v>
      </c>
      <c r="AI288" s="4">
        <v>0.72</v>
      </c>
      <c r="AJ288" t="s">
        <v>72</v>
      </c>
      <c r="AK288" t="s">
        <v>61</v>
      </c>
      <c r="AL288" t="s">
        <v>62</v>
      </c>
      <c r="AM288" t="s">
        <v>73</v>
      </c>
      <c r="AN288" t="s">
        <v>64</v>
      </c>
      <c r="AO288" t="s">
        <v>74</v>
      </c>
      <c r="AP288" t="s">
        <v>75</v>
      </c>
    </row>
    <row r="289" spans="1:42" x14ac:dyDescent="0.25">
      <c r="A289" t="str">
        <f>HYPERLINK("HTTP://10.0.1.74/krs/524/detail","/krs/524")</f>
        <v>/krs/524</v>
      </c>
      <c r="B289">
        <v>524</v>
      </c>
      <c r="C289" t="s">
        <v>383</v>
      </c>
      <c r="D289" t="s">
        <v>310</v>
      </c>
      <c r="E289" t="s">
        <v>94</v>
      </c>
      <c r="F289" t="s">
        <v>126</v>
      </c>
      <c r="G289" s="1">
        <v>43209.387442129628</v>
      </c>
      <c r="H289" t="s">
        <v>277</v>
      </c>
      <c r="I289" t="s">
        <v>57</v>
      </c>
      <c r="K289" s="3">
        <v>1061</v>
      </c>
      <c r="L289" s="3">
        <v>345</v>
      </c>
      <c r="M289" s="3">
        <v>1406</v>
      </c>
      <c r="N289" s="4">
        <v>0.75</v>
      </c>
      <c r="O289" s="3">
        <v>74</v>
      </c>
      <c r="P289" s="3"/>
      <c r="Q289" s="3">
        <v>52</v>
      </c>
      <c r="R289" s="3">
        <v>74</v>
      </c>
      <c r="S289" s="5">
        <v>3.9</v>
      </c>
      <c r="T289" s="5">
        <v>3.9</v>
      </c>
      <c r="U289" s="4">
        <v>0.78</v>
      </c>
      <c r="V289" s="4">
        <v>0.75</v>
      </c>
      <c r="W289" s="4">
        <v>1</v>
      </c>
      <c r="X289" s="4">
        <v>0.97</v>
      </c>
      <c r="Y289" s="4">
        <v>0.7</v>
      </c>
      <c r="Z289" s="4">
        <v>0.25</v>
      </c>
      <c r="AA289" s="3">
        <v>47</v>
      </c>
      <c r="AB289" s="3">
        <v>22</v>
      </c>
      <c r="AC289" s="5">
        <v>3.8</v>
      </c>
      <c r="AD289" s="4">
        <v>0.98</v>
      </c>
      <c r="AE289" s="4">
        <v>0.77</v>
      </c>
      <c r="AF289" s="4">
        <v>0.47</v>
      </c>
      <c r="AG289" s="4">
        <v>0.23</v>
      </c>
      <c r="AH289" s="4">
        <v>0.78</v>
      </c>
      <c r="AI289" s="4">
        <v>0</v>
      </c>
      <c r="AJ289" t="s">
        <v>72</v>
      </c>
      <c r="AK289" t="s">
        <v>62</v>
      </c>
      <c r="AL289" t="s">
        <v>62</v>
      </c>
      <c r="AM289" t="s">
        <v>63</v>
      </c>
      <c r="AN289" t="s">
        <v>64</v>
      </c>
      <c r="AO289" t="s">
        <v>79</v>
      </c>
      <c r="AP289" t="s">
        <v>66</v>
      </c>
    </row>
    <row r="290" spans="1:42" x14ac:dyDescent="0.25">
      <c r="A290" t="str">
        <f>HYPERLINK("HTTP://10.0.1.74/krs/525/detail","/krs/525")</f>
        <v>/krs/525</v>
      </c>
      <c r="B290">
        <v>525</v>
      </c>
      <c r="C290" t="s">
        <v>384</v>
      </c>
      <c r="D290" t="s">
        <v>310</v>
      </c>
      <c r="E290" t="s">
        <v>98</v>
      </c>
      <c r="F290" t="s">
        <v>118</v>
      </c>
      <c r="G290" s="1">
        <v>43241</v>
      </c>
      <c r="H290" t="s">
        <v>299</v>
      </c>
      <c r="I290" t="s">
        <v>51</v>
      </c>
      <c r="K290" s="3"/>
      <c r="L290" s="3"/>
      <c r="M290" s="3"/>
      <c r="N290" s="4"/>
      <c r="O290" s="3"/>
      <c r="P290" s="3"/>
      <c r="Q290" s="3"/>
      <c r="R290" s="3"/>
      <c r="S290" s="5"/>
      <c r="T290" s="5"/>
      <c r="U290" s="4"/>
      <c r="V290" s="4"/>
      <c r="W290" s="4"/>
      <c r="X290" s="4"/>
      <c r="Y290" s="4"/>
      <c r="Z290" s="4"/>
      <c r="AA290" s="3"/>
      <c r="AB290" s="3"/>
      <c r="AC290" s="5"/>
      <c r="AD290" s="4"/>
      <c r="AE290" s="4"/>
      <c r="AF290" s="4"/>
      <c r="AG290" s="4"/>
      <c r="AH290" s="4"/>
      <c r="AI290" s="4"/>
      <c r="AJ290" t="s">
        <v>52</v>
      </c>
      <c r="AK290" t="s">
        <v>52</v>
      </c>
      <c r="AL290" t="s">
        <v>52</v>
      </c>
      <c r="AM290" t="s">
        <v>52</v>
      </c>
      <c r="AN290" t="s">
        <v>52</v>
      </c>
      <c r="AO290" t="s">
        <v>52</v>
      </c>
      <c r="AP290" t="s">
        <v>52</v>
      </c>
    </row>
    <row r="291" spans="1:42" x14ac:dyDescent="0.25">
      <c r="A291" t="str">
        <f>HYPERLINK("HTTP://10.0.1.74/krs/526/detail","/krs/526")</f>
        <v>/krs/526</v>
      </c>
      <c r="B291">
        <v>526</v>
      </c>
      <c r="C291" t="s">
        <v>385</v>
      </c>
      <c r="D291" t="s">
        <v>310</v>
      </c>
      <c r="E291" t="s">
        <v>94</v>
      </c>
      <c r="F291" t="s">
        <v>386</v>
      </c>
      <c r="G291" s="1">
        <v>43209.395879629628</v>
      </c>
      <c r="H291" t="s">
        <v>277</v>
      </c>
      <c r="I291" t="s">
        <v>57</v>
      </c>
      <c r="K291" s="3">
        <v>523</v>
      </c>
      <c r="L291" s="3">
        <v>165</v>
      </c>
      <c r="M291" s="3">
        <v>688</v>
      </c>
      <c r="N291" s="4">
        <v>0.76</v>
      </c>
      <c r="O291" s="3">
        <v>43</v>
      </c>
      <c r="P291" s="3"/>
      <c r="Q291" s="3">
        <v>26</v>
      </c>
      <c r="R291" s="3">
        <v>43</v>
      </c>
      <c r="S291" s="5">
        <v>3.8</v>
      </c>
      <c r="T291" s="5">
        <v>3.8</v>
      </c>
      <c r="U291" s="4">
        <v>0.76</v>
      </c>
      <c r="V291" s="4">
        <v>0.76</v>
      </c>
      <c r="W291" s="4">
        <v>1</v>
      </c>
      <c r="X291" s="4">
        <v>0.97</v>
      </c>
      <c r="Y291" s="4">
        <v>0.6</v>
      </c>
      <c r="Z291" s="4">
        <v>0.24</v>
      </c>
      <c r="AA291" s="3">
        <v>23</v>
      </c>
      <c r="AB291" s="3">
        <v>13</v>
      </c>
      <c r="AC291" s="5">
        <v>3.9</v>
      </c>
      <c r="AD291" s="4">
        <v>1</v>
      </c>
      <c r="AE291" s="4">
        <v>0.78</v>
      </c>
      <c r="AF291" s="4">
        <v>0.56999999999999995</v>
      </c>
      <c r="AG291" s="4">
        <v>0.22</v>
      </c>
      <c r="AH291" s="4">
        <v>0.8</v>
      </c>
      <c r="AI291" s="4">
        <v>0</v>
      </c>
      <c r="AJ291" t="s">
        <v>72</v>
      </c>
      <c r="AK291" t="s">
        <v>62</v>
      </c>
      <c r="AL291" t="s">
        <v>62</v>
      </c>
      <c r="AM291" t="s">
        <v>63</v>
      </c>
      <c r="AN291" t="s">
        <v>97</v>
      </c>
      <c r="AO291" t="s">
        <v>79</v>
      </c>
      <c r="AP291" t="s">
        <v>66</v>
      </c>
    </row>
    <row r="292" spans="1:42" x14ac:dyDescent="0.25">
      <c r="A292" t="str">
        <f>HYPERLINK("HTTP://10.0.1.74/krs/527/detail","/krs/527")</f>
        <v>/krs/527</v>
      </c>
      <c r="B292">
        <v>527</v>
      </c>
      <c r="C292" t="s">
        <v>387</v>
      </c>
      <c r="D292" t="s">
        <v>310</v>
      </c>
      <c r="E292" t="s">
        <v>94</v>
      </c>
      <c r="F292" t="s">
        <v>162</v>
      </c>
      <c r="G292" s="1">
        <v>43209.40253472222</v>
      </c>
      <c r="H292" t="s">
        <v>277</v>
      </c>
      <c r="I292" t="s">
        <v>57</v>
      </c>
      <c r="K292" s="3">
        <v>294</v>
      </c>
      <c r="L292" s="3">
        <v>44</v>
      </c>
      <c r="M292" s="3">
        <v>338</v>
      </c>
      <c r="N292" s="4">
        <v>0.87</v>
      </c>
      <c r="O292" s="3">
        <v>13</v>
      </c>
      <c r="P292" s="3"/>
      <c r="Q292" s="3">
        <v>12</v>
      </c>
      <c r="R292" s="3">
        <v>13</v>
      </c>
      <c r="S292" s="5">
        <v>4.5</v>
      </c>
      <c r="T292" s="5">
        <v>4.5</v>
      </c>
      <c r="U292" s="4">
        <v>0.89</v>
      </c>
      <c r="V292" s="4">
        <v>0.87</v>
      </c>
      <c r="W292" s="4">
        <v>1</v>
      </c>
      <c r="X292" s="4">
        <v>1.06</v>
      </c>
      <c r="Y292" s="4">
        <v>0.92</v>
      </c>
      <c r="Z292" s="4">
        <v>0.13</v>
      </c>
      <c r="AA292" s="3">
        <v>7</v>
      </c>
      <c r="AB292" s="3">
        <v>4</v>
      </c>
      <c r="AC292" s="5">
        <v>4.0999999999999996</v>
      </c>
      <c r="AD292" s="4">
        <v>1</v>
      </c>
      <c r="AE292" s="4">
        <v>0.82</v>
      </c>
      <c r="AF292" s="4">
        <v>0.56999999999999995</v>
      </c>
      <c r="AG292" s="4">
        <v>0.18</v>
      </c>
      <c r="AH292" s="4">
        <v>0.83</v>
      </c>
      <c r="AI292" s="4">
        <v>0.9</v>
      </c>
      <c r="AJ292" t="s">
        <v>72</v>
      </c>
      <c r="AK292" t="s">
        <v>62</v>
      </c>
      <c r="AL292" t="s">
        <v>62</v>
      </c>
      <c r="AM292" t="s">
        <v>63</v>
      </c>
      <c r="AN292" t="s">
        <v>64</v>
      </c>
      <c r="AO292" t="s">
        <v>79</v>
      </c>
      <c r="AP292" t="s">
        <v>66</v>
      </c>
    </row>
    <row r="293" spans="1:42" x14ac:dyDescent="0.25">
      <c r="A293" t="str">
        <f>HYPERLINK("HTTP://10.0.1.74/krs/528/detail","/krs/528")</f>
        <v>/krs/528</v>
      </c>
      <c r="B293">
        <v>528</v>
      </c>
      <c r="C293" t="s">
        <v>388</v>
      </c>
      <c r="D293" t="s">
        <v>310</v>
      </c>
      <c r="E293" t="s">
        <v>94</v>
      </c>
      <c r="F293" t="s">
        <v>116</v>
      </c>
      <c r="G293" s="1">
        <v>43209.419398148151</v>
      </c>
      <c r="H293" t="s">
        <v>277</v>
      </c>
      <c r="I293" t="s">
        <v>57</v>
      </c>
      <c r="K293" s="3">
        <v>278</v>
      </c>
      <c r="L293" s="3">
        <v>142</v>
      </c>
      <c r="M293" s="3">
        <v>420</v>
      </c>
      <c r="N293" s="4">
        <v>0.66</v>
      </c>
      <c r="O293" s="3">
        <v>20</v>
      </c>
      <c r="P293" s="3"/>
      <c r="Q293" s="3">
        <v>11</v>
      </c>
      <c r="R293" s="3">
        <v>20</v>
      </c>
      <c r="S293" s="5">
        <v>3.3</v>
      </c>
      <c r="T293" s="5">
        <v>3.8</v>
      </c>
      <c r="U293" s="4">
        <v>0.75</v>
      </c>
      <c r="V293" s="4">
        <v>0.66</v>
      </c>
      <c r="W293" s="4">
        <v>1</v>
      </c>
      <c r="X293" s="4">
        <v>0.86</v>
      </c>
      <c r="Y293" s="4">
        <v>0.55000000000000004</v>
      </c>
      <c r="Z293" s="4">
        <v>0.34</v>
      </c>
      <c r="AA293" s="3">
        <v>19</v>
      </c>
      <c r="AB293" s="3">
        <v>11</v>
      </c>
      <c r="AC293" s="5">
        <v>3.8</v>
      </c>
      <c r="AD293" s="4">
        <v>1</v>
      </c>
      <c r="AE293" s="4">
        <v>0.77</v>
      </c>
      <c r="AF293" s="4">
        <v>0.57999999999999996</v>
      </c>
      <c r="AG293" s="4">
        <v>0.23</v>
      </c>
      <c r="AH293" s="4">
        <v>0.65</v>
      </c>
      <c r="AI293" s="4">
        <v>0.51</v>
      </c>
      <c r="AJ293" t="s">
        <v>72</v>
      </c>
      <c r="AK293" t="s">
        <v>61</v>
      </c>
      <c r="AL293" t="s">
        <v>62</v>
      </c>
      <c r="AM293" t="s">
        <v>73</v>
      </c>
      <c r="AN293" t="s">
        <v>97</v>
      </c>
      <c r="AO293" t="s">
        <v>74</v>
      </c>
      <c r="AP293" t="s">
        <v>75</v>
      </c>
    </row>
    <row r="294" spans="1:42" x14ac:dyDescent="0.25">
      <c r="A294" t="str">
        <f>HYPERLINK("HTTP://10.0.1.74/krs/530/detail","/krs/530")</f>
        <v>/krs/530</v>
      </c>
      <c r="B294">
        <v>530</v>
      </c>
      <c r="C294" t="s">
        <v>309</v>
      </c>
      <c r="D294" t="s">
        <v>310</v>
      </c>
      <c r="E294" t="s">
        <v>160</v>
      </c>
      <c r="F294" t="s">
        <v>206</v>
      </c>
      <c r="G294" s="1">
        <v>43237</v>
      </c>
      <c r="H294" t="s">
        <v>271</v>
      </c>
      <c r="I294" t="s">
        <v>51</v>
      </c>
      <c r="K294" s="3">
        <v>1530</v>
      </c>
      <c r="L294" s="3">
        <v>850</v>
      </c>
      <c r="M294" s="3">
        <v>2380</v>
      </c>
      <c r="N294" s="4">
        <v>0.64</v>
      </c>
      <c r="O294" s="3">
        <v>119</v>
      </c>
      <c r="P294" s="3"/>
      <c r="Q294" s="3">
        <v>59</v>
      </c>
      <c r="R294" s="3">
        <v>118</v>
      </c>
      <c r="S294" s="5">
        <v>3.4</v>
      </c>
      <c r="T294" s="5">
        <v>3.5</v>
      </c>
      <c r="U294" s="4">
        <v>0.7</v>
      </c>
      <c r="V294" s="4">
        <v>0.64</v>
      </c>
      <c r="W294" s="4">
        <v>0.91</v>
      </c>
      <c r="X294" s="4">
        <v>0.73</v>
      </c>
      <c r="Y294" s="4">
        <v>0.5</v>
      </c>
      <c r="Z294" s="4">
        <v>0.36</v>
      </c>
      <c r="AA294" s="3">
        <v>113</v>
      </c>
      <c r="AB294" s="3">
        <v>107</v>
      </c>
      <c r="AC294" s="5">
        <v>4.4000000000000004</v>
      </c>
      <c r="AD294" s="4">
        <v>1</v>
      </c>
      <c r="AE294" s="4">
        <v>0.88</v>
      </c>
      <c r="AF294" s="4">
        <v>0.95</v>
      </c>
      <c r="AG294" s="4">
        <v>0.12</v>
      </c>
      <c r="AH294" s="4">
        <v>0.65</v>
      </c>
      <c r="AI294" s="4">
        <v>0.62</v>
      </c>
      <c r="AJ294" t="s">
        <v>72</v>
      </c>
      <c r="AK294" t="s">
        <v>61</v>
      </c>
      <c r="AL294" t="s">
        <v>62</v>
      </c>
      <c r="AM294" t="s">
        <v>73</v>
      </c>
      <c r="AN294" t="s">
        <v>64</v>
      </c>
      <c r="AO294" t="s">
        <v>74</v>
      </c>
      <c r="AP294" t="s">
        <v>75</v>
      </c>
    </row>
    <row r="295" spans="1:42" x14ac:dyDescent="0.25">
      <c r="A295" t="str">
        <f>HYPERLINK("HTTP://10.0.1.74/krs/534/detail","/krs/534")</f>
        <v>/krs/534</v>
      </c>
      <c r="B295">
        <v>534</v>
      </c>
      <c r="C295" t="s">
        <v>46</v>
      </c>
      <c r="D295" t="s">
        <v>310</v>
      </c>
      <c r="E295" t="s">
        <v>157</v>
      </c>
      <c r="F295" t="s">
        <v>162</v>
      </c>
      <c r="G295" s="1">
        <v>43228</v>
      </c>
      <c r="H295" t="s">
        <v>158</v>
      </c>
      <c r="I295" t="s">
        <v>51</v>
      </c>
      <c r="K295" s="3">
        <v>186</v>
      </c>
      <c r="L295" s="3">
        <v>74</v>
      </c>
      <c r="M295" s="3">
        <v>260</v>
      </c>
      <c r="N295" s="4">
        <v>0.72</v>
      </c>
      <c r="O295" s="3">
        <v>13</v>
      </c>
      <c r="P295" s="3"/>
      <c r="Q295" s="3">
        <v>9</v>
      </c>
      <c r="R295" s="3">
        <v>13</v>
      </c>
      <c r="S295" s="5">
        <v>3.9</v>
      </c>
      <c r="T295" s="5">
        <v>4</v>
      </c>
      <c r="U295" s="4">
        <v>0.8</v>
      </c>
      <c r="V295" s="4">
        <v>0.72</v>
      </c>
      <c r="W295" s="4">
        <v>0.92</v>
      </c>
      <c r="X295" s="4">
        <v>0.81</v>
      </c>
      <c r="Y295" s="4">
        <v>0.69</v>
      </c>
      <c r="Z295" s="4">
        <v>0.28000000000000003</v>
      </c>
      <c r="AA295" s="3">
        <v>7</v>
      </c>
      <c r="AB295" s="3">
        <v>7</v>
      </c>
      <c r="AC295" s="5">
        <v>4.4000000000000004</v>
      </c>
      <c r="AD295" s="4">
        <v>1</v>
      </c>
      <c r="AE295" s="4">
        <v>0.89</v>
      </c>
      <c r="AF295" s="4">
        <v>1</v>
      </c>
      <c r="AG295" s="4">
        <v>0.11</v>
      </c>
      <c r="AH295" s="4">
        <v>0.83</v>
      </c>
      <c r="AI295" s="4">
        <v>0.56999999999999995</v>
      </c>
      <c r="AJ295" t="s">
        <v>72</v>
      </c>
      <c r="AK295" t="s">
        <v>62</v>
      </c>
      <c r="AL295" t="s">
        <v>62</v>
      </c>
      <c r="AM295" t="s">
        <v>73</v>
      </c>
      <c r="AN295" t="s">
        <v>64</v>
      </c>
      <c r="AO295" t="s">
        <v>74</v>
      </c>
      <c r="AP295" t="s">
        <v>75</v>
      </c>
    </row>
    <row r="296" spans="1:42" x14ac:dyDescent="0.25">
      <c r="A296" t="str">
        <f>HYPERLINK("HTTP://10.0.1.74/krs/536/detail","/krs/536")</f>
        <v>/krs/536</v>
      </c>
      <c r="B296">
        <v>536</v>
      </c>
      <c r="C296" t="s">
        <v>46</v>
      </c>
      <c r="D296" t="s">
        <v>310</v>
      </c>
      <c r="E296" t="s">
        <v>157</v>
      </c>
      <c r="F296" t="s">
        <v>55</v>
      </c>
      <c r="G296" s="1">
        <v>43234</v>
      </c>
      <c r="H296" t="s">
        <v>158</v>
      </c>
      <c r="I296" t="s">
        <v>51</v>
      </c>
      <c r="K296" s="3">
        <v>186</v>
      </c>
      <c r="L296" s="3">
        <v>38</v>
      </c>
      <c r="M296" s="3">
        <v>224</v>
      </c>
      <c r="N296" s="4">
        <v>0.83</v>
      </c>
      <c r="O296" s="3">
        <v>16</v>
      </c>
      <c r="P296" s="3"/>
      <c r="Q296" s="3">
        <v>15</v>
      </c>
      <c r="R296" s="3">
        <v>16</v>
      </c>
      <c r="S296" s="5">
        <v>4.3</v>
      </c>
      <c r="T296" s="5">
        <v>4.3</v>
      </c>
      <c r="U296" s="4">
        <v>0.86</v>
      </c>
      <c r="V296" s="4">
        <v>0.83</v>
      </c>
      <c r="W296" s="4">
        <v>1</v>
      </c>
      <c r="X296" s="4">
        <v>1.04</v>
      </c>
      <c r="Y296" s="4">
        <v>0.94</v>
      </c>
      <c r="Z296" s="4">
        <v>0.17</v>
      </c>
      <c r="AA296" s="3">
        <v>16</v>
      </c>
      <c r="AB296" s="3">
        <v>15</v>
      </c>
      <c r="AC296" s="5">
        <v>4</v>
      </c>
      <c r="AD296" s="4">
        <v>1</v>
      </c>
      <c r="AE296" s="4">
        <v>0.8</v>
      </c>
      <c r="AF296" s="4">
        <v>0.94</v>
      </c>
      <c r="AG296" s="4">
        <v>0.2</v>
      </c>
      <c r="AH296" s="4">
        <v>0.88</v>
      </c>
      <c r="AI296" s="4">
        <v>0.74</v>
      </c>
      <c r="AJ296" t="s">
        <v>72</v>
      </c>
      <c r="AK296" t="s">
        <v>62</v>
      </c>
      <c r="AL296" t="s">
        <v>62</v>
      </c>
      <c r="AM296" t="s">
        <v>63</v>
      </c>
      <c r="AN296" t="s">
        <v>97</v>
      </c>
      <c r="AO296" t="s">
        <v>79</v>
      </c>
      <c r="AP296" t="s">
        <v>66</v>
      </c>
    </row>
    <row r="297" spans="1:42" x14ac:dyDescent="0.25">
      <c r="A297" t="str">
        <f>HYPERLINK("HTTP://10.0.1.74/krs/537/detail","/krs/537")</f>
        <v>/krs/537</v>
      </c>
      <c r="B297">
        <v>537</v>
      </c>
      <c r="C297" t="s">
        <v>309</v>
      </c>
      <c r="D297" t="s">
        <v>310</v>
      </c>
      <c r="E297" t="s">
        <v>54</v>
      </c>
      <c r="F297" t="s">
        <v>284</v>
      </c>
      <c r="G297" s="1">
        <v>43235</v>
      </c>
      <c r="H297" t="s">
        <v>119</v>
      </c>
      <c r="I297" t="s">
        <v>57</v>
      </c>
      <c r="J297" t="s">
        <v>389</v>
      </c>
      <c r="K297" s="3">
        <v>2634</v>
      </c>
      <c r="L297" s="3">
        <v>918</v>
      </c>
      <c r="M297" s="3">
        <v>3552</v>
      </c>
      <c r="N297" s="4">
        <v>0.74</v>
      </c>
      <c r="O297" s="3">
        <v>111</v>
      </c>
      <c r="P297" s="3"/>
      <c r="Q297" s="3">
        <v>78</v>
      </c>
      <c r="R297" s="3">
        <v>111</v>
      </c>
      <c r="S297" s="5">
        <v>3.8</v>
      </c>
      <c r="T297" s="5">
        <v>3.8</v>
      </c>
      <c r="U297" s="4">
        <v>0.75</v>
      </c>
      <c r="V297" s="4">
        <v>0.74</v>
      </c>
      <c r="W297" s="4">
        <v>0.96</v>
      </c>
      <c r="X297" s="4">
        <v>0</v>
      </c>
      <c r="Y297" s="4">
        <v>0.7</v>
      </c>
      <c r="Z297" s="4">
        <v>0.26</v>
      </c>
      <c r="AA297" s="3">
        <v>0</v>
      </c>
      <c r="AB297" s="3">
        <v>0</v>
      </c>
      <c r="AC297" s="5">
        <v>0</v>
      </c>
      <c r="AD297" s="4">
        <v>0</v>
      </c>
      <c r="AE297" s="4">
        <v>0</v>
      </c>
      <c r="AF297" s="4">
        <v>0</v>
      </c>
      <c r="AG297" s="4">
        <v>1</v>
      </c>
      <c r="AH297" s="4">
        <v>0.74</v>
      </c>
      <c r="AI297" s="4">
        <v>0.74</v>
      </c>
      <c r="AJ297" t="s">
        <v>72</v>
      </c>
      <c r="AK297" t="s">
        <v>62</v>
      </c>
      <c r="AL297" t="s">
        <v>62</v>
      </c>
      <c r="AM297" t="s">
        <v>63</v>
      </c>
      <c r="AN297" t="s">
        <v>64</v>
      </c>
      <c r="AO297" t="s">
        <v>79</v>
      </c>
      <c r="AP297" t="s">
        <v>75</v>
      </c>
    </row>
    <row r="298" spans="1:42" x14ac:dyDescent="0.25">
      <c r="A298" t="str">
        <f>HYPERLINK("HTTP://10.0.1.74/krs/538/detail","/krs/538")</f>
        <v>/krs/538</v>
      </c>
      <c r="B298">
        <v>538</v>
      </c>
      <c r="C298" t="s">
        <v>309</v>
      </c>
      <c r="D298" t="s">
        <v>310</v>
      </c>
      <c r="E298" t="s">
        <v>54</v>
      </c>
      <c r="F298" t="s">
        <v>335</v>
      </c>
      <c r="G298" s="1">
        <v>43237</v>
      </c>
      <c r="H298" t="s">
        <v>152</v>
      </c>
      <c r="I298" t="s">
        <v>51</v>
      </c>
      <c r="J298" t="s">
        <v>390</v>
      </c>
      <c r="K298" s="3">
        <v>1407</v>
      </c>
      <c r="L298" s="3">
        <v>753</v>
      </c>
      <c r="M298" s="3">
        <v>2160</v>
      </c>
      <c r="N298" s="4">
        <v>0.65</v>
      </c>
      <c r="O298" s="3">
        <v>108</v>
      </c>
      <c r="P298" s="3"/>
      <c r="Q298" s="3">
        <v>54</v>
      </c>
      <c r="R298" s="3">
        <v>107</v>
      </c>
      <c r="S298" s="5">
        <v>3.5</v>
      </c>
      <c r="T298" s="5">
        <v>3.5</v>
      </c>
      <c r="U298" s="4">
        <v>0.7</v>
      </c>
      <c r="V298" s="4">
        <v>0.65</v>
      </c>
      <c r="W298" s="4">
        <v>0.9</v>
      </c>
      <c r="X298" s="4">
        <v>0.83</v>
      </c>
      <c r="Y298" s="4">
        <v>0.5</v>
      </c>
      <c r="Z298" s="4">
        <v>0.35</v>
      </c>
      <c r="AA298" s="3">
        <v>99</v>
      </c>
      <c r="AB298" s="3">
        <v>67</v>
      </c>
      <c r="AC298" s="5">
        <v>3.9</v>
      </c>
      <c r="AD298" s="4">
        <v>0.99</v>
      </c>
      <c r="AE298" s="4">
        <v>0.78</v>
      </c>
      <c r="AF298" s="4">
        <v>0.68</v>
      </c>
      <c r="AG298" s="4">
        <v>0.22</v>
      </c>
      <c r="AH298" s="4">
        <v>0.67</v>
      </c>
      <c r="AI298" s="4">
        <v>0.57999999999999996</v>
      </c>
      <c r="AJ298" t="s">
        <v>72</v>
      </c>
      <c r="AK298" t="s">
        <v>61</v>
      </c>
      <c r="AL298" t="s">
        <v>62</v>
      </c>
      <c r="AM298" t="s">
        <v>73</v>
      </c>
      <c r="AN298" t="s">
        <v>64</v>
      </c>
      <c r="AO298" t="s">
        <v>74</v>
      </c>
      <c r="AP298" t="s">
        <v>75</v>
      </c>
    </row>
    <row r="299" spans="1:42" x14ac:dyDescent="0.25">
      <c r="A299" t="str">
        <f>HYPERLINK("HTTP://10.0.1.74/krs/539/detail","/krs/539")</f>
        <v>/krs/539</v>
      </c>
      <c r="B299">
        <v>539</v>
      </c>
      <c r="C299" t="s">
        <v>309</v>
      </c>
      <c r="D299" t="s">
        <v>310</v>
      </c>
      <c r="E299" t="s">
        <v>160</v>
      </c>
      <c r="F299" t="s">
        <v>95</v>
      </c>
      <c r="G299" s="1">
        <v>43230</v>
      </c>
      <c r="H299" t="s">
        <v>152</v>
      </c>
      <c r="I299" t="s">
        <v>51</v>
      </c>
      <c r="J299" t="s">
        <v>391</v>
      </c>
      <c r="K299" s="3">
        <v>1221</v>
      </c>
      <c r="L299" s="3">
        <v>504</v>
      </c>
      <c r="M299" s="3">
        <v>1725</v>
      </c>
      <c r="N299" s="4">
        <v>0.71</v>
      </c>
      <c r="O299" s="3">
        <v>115</v>
      </c>
      <c r="P299" s="3"/>
      <c r="Q299" s="3">
        <v>72</v>
      </c>
      <c r="R299" s="3">
        <v>113</v>
      </c>
      <c r="S299" s="5">
        <v>3.7</v>
      </c>
      <c r="T299" s="5">
        <v>3.7</v>
      </c>
      <c r="U299" s="4">
        <v>0.75</v>
      </c>
      <c r="V299" s="4">
        <v>0.71</v>
      </c>
      <c r="W299" s="4">
        <v>0.92</v>
      </c>
      <c r="X299" s="4">
        <v>0.85</v>
      </c>
      <c r="Y299" s="4">
        <v>0.64</v>
      </c>
      <c r="Z299" s="4">
        <v>0.28999999999999998</v>
      </c>
      <c r="AA299" s="3">
        <v>84</v>
      </c>
      <c r="AB299" s="3">
        <v>61</v>
      </c>
      <c r="AC299" s="5">
        <v>4.2</v>
      </c>
      <c r="AD299" s="4">
        <v>0.98</v>
      </c>
      <c r="AE299" s="4">
        <v>0.84</v>
      </c>
      <c r="AF299" s="4">
        <v>0.73</v>
      </c>
      <c r="AG299" s="4">
        <v>0.16</v>
      </c>
      <c r="AH299" s="4">
        <v>0.8</v>
      </c>
      <c r="AI299" s="4">
        <v>0.63</v>
      </c>
      <c r="AJ299" t="s">
        <v>72</v>
      </c>
      <c r="AK299" t="s">
        <v>62</v>
      </c>
      <c r="AL299" t="s">
        <v>62</v>
      </c>
      <c r="AM299" t="s">
        <v>73</v>
      </c>
      <c r="AN299" t="s">
        <v>97</v>
      </c>
      <c r="AO299" t="s">
        <v>74</v>
      </c>
      <c r="AP299" t="s">
        <v>75</v>
      </c>
    </row>
    <row r="300" spans="1:42" x14ac:dyDescent="0.25">
      <c r="A300" t="str">
        <f>HYPERLINK("HTTP://10.0.1.74/krs/540/detail","/krs/540")</f>
        <v>/krs/540</v>
      </c>
      <c r="B300">
        <v>540</v>
      </c>
      <c r="C300" t="s">
        <v>309</v>
      </c>
      <c r="D300" t="s">
        <v>310</v>
      </c>
      <c r="E300" t="s">
        <v>160</v>
      </c>
      <c r="F300" t="s">
        <v>335</v>
      </c>
      <c r="G300" s="1">
        <v>43236</v>
      </c>
      <c r="H300" t="s">
        <v>119</v>
      </c>
      <c r="I300" t="s">
        <v>57</v>
      </c>
      <c r="J300" t="s">
        <v>392</v>
      </c>
      <c r="K300" s="3">
        <v>1251</v>
      </c>
      <c r="L300" s="3">
        <v>889</v>
      </c>
      <c r="M300" s="3">
        <v>2140</v>
      </c>
      <c r="N300" s="4">
        <v>0.57999999999999996</v>
      </c>
      <c r="O300" s="3">
        <v>107</v>
      </c>
      <c r="P300" s="3"/>
      <c r="Q300" s="3">
        <v>50</v>
      </c>
      <c r="R300" s="3">
        <v>104</v>
      </c>
      <c r="S300" s="5">
        <v>3.3</v>
      </c>
      <c r="T300" s="5">
        <v>3.3</v>
      </c>
      <c r="U300" s="4">
        <v>0.67</v>
      </c>
      <c r="V300" s="4">
        <v>0.57999999999999996</v>
      </c>
      <c r="W300" s="4">
        <v>0.8</v>
      </c>
      <c r="X300" s="4">
        <v>0.68</v>
      </c>
      <c r="Y300" s="4">
        <v>0.48</v>
      </c>
      <c r="Z300" s="4">
        <v>0.42</v>
      </c>
      <c r="AA300" s="3">
        <v>99</v>
      </c>
      <c r="AB300" s="3">
        <v>82</v>
      </c>
      <c r="AC300" s="5">
        <v>4.2</v>
      </c>
      <c r="AD300" s="4">
        <v>1</v>
      </c>
      <c r="AE300" s="4">
        <v>0.85</v>
      </c>
      <c r="AF300" s="4">
        <v>0.83</v>
      </c>
      <c r="AG300" s="4">
        <v>0.15</v>
      </c>
      <c r="AH300" s="4">
        <v>0.64</v>
      </c>
      <c r="AI300" s="4">
        <v>0.56999999999999995</v>
      </c>
      <c r="AJ300" t="s">
        <v>72</v>
      </c>
      <c r="AK300" t="s">
        <v>86</v>
      </c>
      <c r="AL300" t="s">
        <v>62</v>
      </c>
      <c r="AM300" t="s">
        <v>73</v>
      </c>
      <c r="AN300" t="s">
        <v>64</v>
      </c>
      <c r="AO300" t="s">
        <v>74</v>
      </c>
      <c r="AP300" t="s">
        <v>75</v>
      </c>
    </row>
    <row r="301" spans="1:42" x14ac:dyDescent="0.25">
      <c r="A301" t="str">
        <f>HYPERLINK("HTTP://10.0.1.74/krs/541/detail","/krs/541")</f>
        <v>/krs/541</v>
      </c>
      <c r="B301">
        <v>541</v>
      </c>
      <c r="C301" t="s">
        <v>309</v>
      </c>
      <c r="D301" t="s">
        <v>310</v>
      </c>
      <c r="E301" t="s">
        <v>87</v>
      </c>
      <c r="F301" t="s">
        <v>116</v>
      </c>
      <c r="G301" s="1">
        <v>43213.53402777778</v>
      </c>
      <c r="H301" t="s">
        <v>88</v>
      </c>
      <c r="I301" t="s">
        <v>57</v>
      </c>
      <c r="J301" t="s">
        <v>393</v>
      </c>
      <c r="K301" s="3">
        <v>418</v>
      </c>
      <c r="L301" s="3">
        <v>102</v>
      </c>
      <c r="M301" s="3">
        <v>520</v>
      </c>
      <c r="N301" s="4">
        <v>0.8</v>
      </c>
      <c r="O301" s="3">
        <v>20</v>
      </c>
      <c r="P301" s="3"/>
      <c r="Q301" s="3">
        <v>17</v>
      </c>
      <c r="R301" s="3">
        <v>20</v>
      </c>
      <c r="S301" s="5">
        <v>4.2</v>
      </c>
      <c r="T301" s="5">
        <v>4.2</v>
      </c>
      <c r="U301" s="4">
        <v>0.83</v>
      </c>
      <c r="V301" s="4">
        <v>0.8</v>
      </c>
      <c r="W301" s="4">
        <v>1</v>
      </c>
      <c r="X301" s="4">
        <v>0.94</v>
      </c>
      <c r="Y301" s="4">
        <v>0.85</v>
      </c>
      <c r="Z301" s="4">
        <v>0.2</v>
      </c>
      <c r="AA301" s="3">
        <v>19</v>
      </c>
      <c r="AB301" s="3">
        <v>16</v>
      </c>
      <c r="AC301" s="5">
        <v>4.3</v>
      </c>
      <c r="AD301" s="4">
        <v>1</v>
      </c>
      <c r="AE301" s="4">
        <v>0.85</v>
      </c>
      <c r="AF301" s="4">
        <v>0.84</v>
      </c>
      <c r="AG301" s="4">
        <v>0.15</v>
      </c>
      <c r="AH301" s="4">
        <v>0</v>
      </c>
      <c r="AI301" s="4">
        <v>0.77</v>
      </c>
      <c r="AJ301" t="s">
        <v>72</v>
      </c>
      <c r="AK301" t="s">
        <v>62</v>
      </c>
      <c r="AL301" t="s">
        <v>62</v>
      </c>
      <c r="AM301" t="s">
        <v>63</v>
      </c>
      <c r="AN301" t="s">
        <v>97</v>
      </c>
      <c r="AO301" t="s">
        <v>65</v>
      </c>
      <c r="AP301" t="s">
        <v>66</v>
      </c>
    </row>
    <row r="302" spans="1:42" x14ac:dyDescent="0.25">
      <c r="A302" t="str">
        <f>HYPERLINK("HTTP://10.0.1.74/krs/542/detail","/krs/542")</f>
        <v>/krs/542</v>
      </c>
      <c r="B302">
        <v>542</v>
      </c>
      <c r="C302" t="s">
        <v>309</v>
      </c>
      <c r="D302" t="s">
        <v>310</v>
      </c>
      <c r="E302" t="s">
        <v>54</v>
      </c>
      <c r="F302" t="s">
        <v>206</v>
      </c>
      <c r="G302" s="1">
        <v>43228</v>
      </c>
      <c r="H302" t="s">
        <v>117</v>
      </c>
      <c r="I302" t="s">
        <v>51</v>
      </c>
      <c r="J302" t="s">
        <v>394</v>
      </c>
      <c r="K302" s="3">
        <v>3319</v>
      </c>
      <c r="L302" s="3">
        <v>1441</v>
      </c>
      <c r="M302" s="3">
        <v>4760</v>
      </c>
      <c r="N302" s="4">
        <v>0.7</v>
      </c>
      <c r="O302" s="3">
        <v>119</v>
      </c>
      <c r="P302" s="3"/>
      <c r="Q302" s="3">
        <v>72</v>
      </c>
      <c r="R302" s="3">
        <v>117</v>
      </c>
      <c r="S302" s="5">
        <v>3.7</v>
      </c>
      <c r="T302" s="5">
        <v>3.6</v>
      </c>
      <c r="U302" s="4">
        <v>0.74</v>
      </c>
      <c r="V302" s="4">
        <v>0.7</v>
      </c>
      <c r="W302" s="4">
        <v>0.94</v>
      </c>
      <c r="X302" s="4">
        <v>0.84</v>
      </c>
      <c r="Y302" s="4">
        <v>0.62</v>
      </c>
      <c r="Z302" s="4">
        <v>0.3</v>
      </c>
      <c r="AA302" s="3">
        <v>113</v>
      </c>
      <c r="AB302" s="3">
        <v>98</v>
      </c>
      <c r="AC302" s="5">
        <v>4.2</v>
      </c>
      <c r="AD302" s="4">
        <v>1</v>
      </c>
      <c r="AE302" s="4">
        <v>0.83</v>
      </c>
      <c r="AF302" s="4">
        <v>0.87</v>
      </c>
      <c r="AG302" s="4">
        <v>0.17</v>
      </c>
      <c r="AH302" s="4">
        <v>0.72</v>
      </c>
      <c r="AI302" s="4">
        <v>0.74</v>
      </c>
      <c r="AJ302" t="s">
        <v>72</v>
      </c>
      <c r="AK302" t="s">
        <v>62</v>
      </c>
      <c r="AL302" t="s">
        <v>62</v>
      </c>
      <c r="AM302" t="s">
        <v>73</v>
      </c>
      <c r="AN302" t="s">
        <v>64</v>
      </c>
      <c r="AO302" t="s">
        <v>74</v>
      </c>
      <c r="AP302" t="s">
        <v>75</v>
      </c>
    </row>
    <row r="303" spans="1:42" x14ac:dyDescent="0.25">
      <c r="A303" t="str">
        <f>HYPERLINK("HTTP://10.0.1.74/krs/549/detail","/krs/549")</f>
        <v>/krs/549</v>
      </c>
      <c r="B303">
        <v>549</v>
      </c>
      <c r="C303" t="s">
        <v>309</v>
      </c>
      <c r="D303" t="s">
        <v>310</v>
      </c>
      <c r="E303" t="s">
        <v>54</v>
      </c>
      <c r="F303" t="s">
        <v>395</v>
      </c>
      <c r="G303" s="1">
        <v>43242</v>
      </c>
      <c r="H303" t="s">
        <v>121</v>
      </c>
      <c r="I303" t="s">
        <v>51</v>
      </c>
      <c r="K303" s="3">
        <v>1114</v>
      </c>
      <c r="L303" s="3">
        <v>151</v>
      </c>
      <c r="M303" s="3">
        <v>1265</v>
      </c>
      <c r="N303" s="4">
        <v>0.88</v>
      </c>
      <c r="O303" s="3">
        <v>55</v>
      </c>
      <c r="P303" s="3"/>
      <c r="Q303" s="3">
        <v>53</v>
      </c>
      <c r="R303" s="3">
        <v>55</v>
      </c>
      <c r="S303" s="5">
        <v>4.4000000000000004</v>
      </c>
      <c r="T303" s="5">
        <v>4.3</v>
      </c>
      <c r="U303" s="4">
        <v>0.87</v>
      </c>
      <c r="V303" s="4">
        <v>0.88</v>
      </c>
      <c r="W303" s="4">
        <v>1</v>
      </c>
      <c r="X303" s="4">
        <v>1.04</v>
      </c>
      <c r="Y303" s="4">
        <v>0.96</v>
      </c>
      <c r="Z303" s="4">
        <v>0.12</v>
      </c>
      <c r="AA303" s="3">
        <v>30</v>
      </c>
      <c r="AB303" s="3">
        <v>27</v>
      </c>
      <c r="AC303" s="5">
        <v>4.2</v>
      </c>
      <c r="AD303" s="4">
        <v>1</v>
      </c>
      <c r="AE303" s="4">
        <v>0.85</v>
      </c>
      <c r="AF303" s="4">
        <v>0.9</v>
      </c>
      <c r="AG303" s="4">
        <v>0.15</v>
      </c>
      <c r="AH303" s="4">
        <v>0.88</v>
      </c>
      <c r="AI303" s="4">
        <v>0.82</v>
      </c>
      <c r="AJ303" t="s">
        <v>72</v>
      </c>
      <c r="AK303" t="s">
        <v>62</v>
      </c>
      <c r="AL303" t="s">
        <v>62</v>
      </c>
      <c r="AM303" t="s">
        <v>63</v>
      </c>
      <c r="AN303" t="s">
        <v>97</v>
      </c>
      <c r="AO303" t="s">
        <v>79</v>
      </c>
      <c r="AP303" t="s">
        <v>66</v>
      </c>
    </row>
    <row r="304" spans="1:42" x14ac:dyDescent="0.25">
      <c r="A304" t="str">
        <f>HYPERLINK("HTTP://10.0.1.74/krs/551/detail","/krs/551")</f>
        <v>/krs/551</v>
      </c>
      <c r="B304">
        <v>551</v>
      </c>
      <c r="C304" t="s">
        <v>309</v>
      </c>
      <c r="D304" t="s">
        <v>310</v>
      </c>
      <c r="E304" t="s">
        <v>160</v>
      </c>
      <c r="F304" t="s">
        <v>395</v>
      </c>
      <c r="G304" s="1">
        <v>43225.70380787037</v>
      </c>
      <c r="H304" t="s">
        <v>121</v>
      </c>
      <c r="I304" t="s">
        <v>51</v>
      </c>
      <c r="J304" t="s">
        <v>396</v>
      </c>
      <c r="K304" s="3">
        <v>342</v>
      </c>
      <c r="L304" s="3">
        <v>36</v>
      </c>
      <c r="M304" s="3">
        <v>378</v>
      </c>
      <c r="N304" s="4">
        <v>0.9</v>
      </c>
      <c r="O304" s="3">
        <v>54</v>
      </c>
      <c r="P304" s="3"/>
      <c r="Q304" s="3">
        <v>0</v>
      </c>
      <c r="R304" s="3">
        <v>54</v>
      </c>
      <c r="S304" s="5">
        <v>4.5</v>
      </c>
      <c r="T304" s="5">
        <v>1</v>
      </c>
      <c r="U304" s="4">
        <v>0.2</v>
      </c>
      <c r="V304" s="4">
        <v>0.9</v>
      </c>
      <c r="W304" s="4">
        <v>0</v>
      </c>
      <c r="X304" s="4">
        <v>1</v>
      </c>
      <c r="Y304" s="4">
        <v>0</v>
      </c>
      <c r="Z304" s="4">
        <v>0.1</v>
      </c>
      <c r="AA304" s="3">
        <v>29</v>
      </c>
      <c r="AB304" s="3">
        <v>25</v>
      </c>
      <c r="AC304" s="5">
        <v>4.5</v>
      </c>
      <c r="AD304" s="4">
        <v>1</v>
      </c>
      <c r="AE304" s="4">
        <v>0.9</v>
      </c>
      <c r="AF304" s="4">
        <v>0.86</v>
      </c>
      <c r="AG304" s="4">
        <v>0.1</v>
      </c>
      <c r="AH304" s="4">
        <v>1</v>
      </c>
      <c r="AI304" s="4">
        <v>0.86</v>
      </c>
      <c r="AJ304" t="s">
        <v>60</v>
      </c>
      <c r="AK304" t="s">
        <v>62</v>
      </c>
      <c r="AL304" t="s">
        <v>86</v>
      </c>
      <c r="AM304" t="s">
        <v>63</v>
      </c>
      <c r="AN304" t="s">
        <v>64</v>
      </c>
      <c r="AO304" t="s">
        <v>79</v>
      </c>
      <c r="AP304" t="s">
        <v>66</v>
      </c>
    </row>
    <row r="305" spans="1:42" x14ac:dyDescent="0.25">
      <c r="A305" t="str">
        <f>HYPERLINK("HTTP://10.0.1.74/krs/552/detail","/krs/552")</f>
        <v>/krs/552</v>
      </c>
      <c r="B305">
        <v>552</v>
      </c>
      <c r="C305" t="s">
        <v>397</v>
      </c>
      <c r="D305" t="s">
        <v>310</v>
      </c>
      <c r="E305" t="s">
        <v>98</v>
      </c>
      <c r="F305" t="s">
        <v>398</v>
      </c>
      <c r="G305" s="1">
        <v>43243</v>
      </c>
      <c r="H305" t="s">
        <v>299</v>
      </c>
      <c r="I305" t="s">
        <v>57</v>
      </c>
      <c r="K305" s="3">
        <v>1059</v>
      </c>
      <c r="L305" s="3">
        <v>411</v>
      </c>
      <c r="M305" s="3">
        <v>1470</v>
      </c>
      <c r="N305" s="4">
        <v>0.72</v>
      </c>
      <c r="O305" s="3">
        <v>42</v>
      </c>
      <c r="P305" s="3"/>
      <c r="Q305" s="3">
        <v>25</v>
      </c>
      <c r="R305" s="3">
        <v>42</v>
      </c>
      <c r="S305" s="5">
        <v>3.8</v>
      </c>
      <c r="T305" s="5">
        <v>3.8</v>
      </c>
      <c r="U305" s="4">
        <v>0.76</v>
      </c>
      <c r="V305" s="4">
        <v>0.72</v>
      </c>
      <c r="W305" s="4">
        <v>0.95</v>
      </c>
      <c r="X305" s="4">
        <v>0</v>
      </c>
      <c r="Y305" s="4">
        <v>0.6</v>
      </c>
      <c r="Z305" s="4">
        <v>0.28000000000000003</v>
      </c>
      <c r="AA305" s="3">
        <v>0</v>
      </c>
      <c r="AB305" s="3">
        <v>0</v>
      </c>
      <c r="AC305" s="5">
        <v>0</v>
      </c>
      <c r="AD305" s="4">
        <v>0</v>
      </c>
      <c r="AE305" s="4">
        <v>0</v>
      </c>
      <c r="AF305" s="4">
        <v>0</v>
      </c>
      <c r="AG305" s="4">
        <v>1</v>
      </c>
      <c r="AH305" s="4">
        <v>0.7</v>
      </c>
      <c r="AI305" s="4">
        <v>0</v>
      </c>
      <c r="AJ305" t="s">
        <v>72</v>
      </c>
      <c r="AK305" t="s">
        <v>62</v>
      </c>
      <c r="AL305" t="s">
        <v>62</v>
      </c>
      <c r="AM305" t="s">
        <v>63</v>
      </c>
      <c r="AN305" t="s">
        <v>64</v>
      </c>
      <c r="AO305" t="s">
        <v>79</v>
      </c>
      <c r="AP305" t="s">
        <v>75</v>
      </c>
    </row>
    <row r="306" spans="1:42" x14ac:dyDescent="0.25">
      <c r="A306" t="str">
        <f>HYPERLINK("HTTP://10.0.1.74/krs/555/detail","/krs/555")</f>
        <v>/krs/555</v>
      </c>
      <c r="B306">
        <v>555</v>
      </c>
      <c r="C306" t="s">
        <v>399</v>
      </c>
      <c r="D306" t="s">
        <v>310</v>
      </c>
      <c r="E306" t="s">
        <v>135</v>
      </c>
      <c r="F306" t="s">
        <v>206</v>
      </c>
      <c r="G306" s="1">
        <v>43215.370219907411</v>
      </c>
      <c r="H306" t="s">
        <v>137</v>
      </c>
      <c r="I306" t="s">
        <v>57</v>
      </c>
      <c r="K306" s="3">
        <v>1188</v>
      </c>
      <c r="L306" s="3">
        <v>486</v>
      </c>
      <c r="M306" s="3">
        <v>1674</v>
      </c>
      <c r="N306" s="4">
        <v>0.71</v>
      </c>
      <c r="O306" s="3">
        <v>62</v>
      </c>
      <c r="P306" s="3"/>
      <c r="Q306" s="3">
        <v>34</v>
      </c>
      <c r="R306" s="3">
        <v>62</v>
      </c>
      <c r="S306" s="5">
        <v>3.6</v>
      </c>
      <c r="T306" s="5">
        <v>3.6</v>
      </c>
      <c r="U306" s="4">
        <v>0.73</v>
      </c>
      <c r="V306" s="4">
        <v>0.71</v>
      </c>
      <c r="W306" s="4">
        <v>0.95</v>
      </c>
      <c r="X306" s="4">
        <v>0.83</v>
      </c>
      <c r="Y306" s="4">
        <v>0.55000000000000004</v>
      </c>
      <c r="Z306" s="4">
        <v>0.28999999999999998</v>
      </c>
      <c r="AA306" s="3">
        <v>35</v>
      </c>
      <c r="AB306" s="3">
        <v>26</v>
      </c>
      <c r="AC306" s="5">
        <v>4.3</v>
      </c>
      <c r="AD306" s="4">
        <v>1</v>
      </c>
      <c r="AE306" s="4">
        <v>0.86</v>
      </c>
      <c r="AF306" s="4">
        <v>0.74</v>
      </c>
      <c r="AG306" s="4">
        <v>0.14000000000000001</v>
      </c>
      <c r="AH306" s="4">
        <v>0.69</v>
      </c>
      <c r="AI306" s="4">
        <v>0.75</v>
      </c>
      <c r="AJ306" t="s">
        <v>72</v>
      </c>
      <c r="AK306" t="s">
        <v>62</v>
      </c>
      <c r="AL306" t="s">
        <v>62</v>
      </c>
      <c r="AM306" t="s">
        <v>73</v>
      </c>
      <c r="AN306" t="s">
        <v>64</v>
      </c>
      <c r="AO306" t="s">
        <v>74</v>
      </c>
      <c r="AP306" t="s">
        <v>75</v>
      </c>
    </row>
    <row r="307" spans="1:42" x14ac:dyDescent="0.25">
      <c r="A307" t="str">
        <f>HYPERLINK("HTTP://10.0.1.74/krs/556/detail","/krs/556")</f>
        <v>/krs/556</v>
      </c>
      <c r="B307">
        <v>556</v>
      </c>
      <c r="C307" t="s">
        <v>400</v>
      </c>
      <c r="D307" t="s">
        <v>310</v>
      </c>
      <c r="E307" t="s">
        <v>135</v>
      </c>
      <c r="F307" t="s">
        <v>95</v>
      </c>
      <c r="G307" s="1">
        <v>43215.399097222224</v>
      </c>
      <c r="H307" t="s">
        <v>137</v>
      </c>
      <c r="I307" t="s">
        <v>57</v>
      </c>
      <c r="K307" s="3">
        <v>921</v>
      </c>
      <c r="L307" s="3">
        <v>206</v>
      </c>
      <c r="M307" s="3">
        <v>1127</v>
      </c>
      <c r="N307" s="4">
        <v>0.82</v>
      </c>
      <c r="O307" s="3">
        <v>49</v>
      </c>
      <c r="P307" s="3"/>
      <c r="Q307" s="3">
        <v>42</v>
      </c>
      <c r="R307" s="3">
        <v>49</v>
      </c>
      <c r="S307" s="5">
        <v>4.2</v>
      </c>
      <c r="T307" s="5">
        <v>4.2</v>
      </c>
      <c r="U307" s="4">
        <v>0.84</v>
      </c>
      <c r="V307" s="4">
        <v>0.82</v>
      </c>
      <c r="W307" s="4">
        <v>0.98</v>
      </c>
      <c r="X307" s="4">
        <v>0</v>
      </c>
      <c r="Y307" s="4">
        <v>0.86</v>
      </c>
      <c r="Z307" s="4">
        <v>0.18</v>
      </c>
      <c r="AA307" s="3">
        <v>0</v>
      </c>
      <c r="AB307" s="3">
        <v>0</v>
      </c>
      <c r="AC307" s="5">
        <v>0</v>
      </c>
      <c r="AD307" s="4">
        <v>0</v>
      </c>
      <c r="AE307" s="4">
        <v>0</v>
      </c>
      <c r="AF307" s="4">
        <v>0</v>
      </c>
      <c r="AG307" s="4">
        <v>1</v>
      </c>
      <c r="AH307" s="4">
        <v>0.86</v>
      </c>
      <c r="AI307" s="4">
        <v>0.55000000000000004</v>
      </c>
      <c r="AJ307" t="s">
        <v>72</v>
      </c>
      <c r="AK307" t="s">
        <v>62</v>
      </c>
      <c r="AL307" t="s">
        <v>62</v>
      </c>
      <c r="AM307" t="s">
        <v>63</v>
      </c>
      <c r="AN307" t="s">
        <v>64</v>
      </c>
      <c r="AO307" t="s">
        <v>79</v>
      </c>
      <c r="AP307" t="s">
        <v>75</v>
      </c>
    </row>
    <row r="308" spans="1:42" x14ac:dyDescent="0.25">
      <c r="A308" t="str">
        <f>HYPERLINK("HTTP://10.0.1.74/krs/557/detail","/krs/557")</f>
        <v>/krs/557</v>
      </c>
      <c r="B308">
        <v>557</v>
      </c>
      <c r="C308" t="s">
        <v>401</v>
      </c>
      <c r="D308" t="s">
        <v>310</v>
      </c>
      <c r="E308" t="s">
        <v>135</v>
      </c>
      <c r="F308" t="s">
        <v>365</v>
      </c>
      <c r="G308" s="1">
        <v>43215.410057870373</v>
      </c>
      <c r="H308" t="s">
        <v>137</v>
      </c>
      <c r="I308" t="s">
        <v>57</v>
      </c>
      <c r="K308" s="3">
        <v>474</v>
      </c>
      <c r="L308" s="3">
        <v>201</v>
      </c>
      <c r="M308" s="3">
        <v>675</v>
      </c>
      <c r="N308" s="4">
        <v>0.7</v>
      </c>
      <c r="O308" s="3">
        <v>27</v>
      </c>
      <c r="P308" s="3"/>
      <c r="Q308" s="3">
        <v>15</v>
      </c>
      <c r="R308" s="3">
        <v>27</v>
      </c>
      <c r="S308" s="5">
        <v>3.5</v>
      </c>
      <c r="T308" s="5">
        <v>3.5</v>
      </c>
      <c r="U308" s="4">
        <v>0.7</v>
      </c>
      <c r="V308" s="4">
        <v>0.7</v>
      </c>
      <c r="W308" s="4">
        <v>0.93</v>
      </c>
      <c r="X308" s="4">
        <v>0</v>
      </c>
      <c r="Y308" s="4">
        <v>0.56000000000000005</v>
      </c>
      <c r="Z308" s="4">
        <v>0.3</v>
      </c>
      <c r="AA308" s="3">
        <v>0</v>
      </c>
      <c r="AB308" s="3">
        <v>0</v>
      </c>
      <c r="AC308" s="5">
        <v>0</v>
      </c>
      <c r="AD308" s="4">
        <v>0</v>
      </c>
      <c r="AE308" s="4">
        <v>0</v>
      </c>
      <c r="AF308" s="4">
        <v>0</v>
      </c>
      <c r="AG308" s="4">
        <v>1</v>
      </c>
      <c r="AH308" s="4">
        <v>0.77</v>
      </c>
      <c r="AI308" s="4">
        <v>0.28999999999999998</v>
      </c>
      <c r="AJ308" t="s">
        <v>72</v>
      </c>
      <c r="AK308" t="s">
        <v>62</v>
      </c>
      <c r="AL308" t="s">
        <v>62</v>
      </c>
      <c r="AM308" t="s">
        <v>63</v>
      </c>
      <c r="AN308" t="s">
        <v>64</v>
      </c>
      <c r="AO308" t="s">
        <v>79</v>
      </c>
      <c r="AP308" t="s">
        <v>75</v>
      </c>
    </row>
    <row r="309" spans="1:42" x14ac:dyDescent="0.25">
      <c r="A309" t="str">
        <f>HYPERLINK("HTTP://10.0.1.74/krs/560/detail","/krs/560")</f>
        <v>/krs/560</v>
      </c>
      <c r="B309">
        <v>560</v>
      </c>
      <c r="C309" t="s">
        <v>402</v>
      </c>
      <c r="D309" t="s">
        <v>310</v>
      </c>
      <c r="E309" t="s">
        <v>168</v>
      </c>
      <c r="F309" t="s">
        <v>284</v>
      </c>
      <c r="G309" s="1">
        <v>43242</v>
      </c>
      <c r="H309" t="s">
        <v>403</v>
      </c>
      <c r="I309" t="s">
        <v>51</v>
      </c>
      <c r="K309" s="3">
        <v>1330</v>
      </c>
      <c r="L309" s="3">
        <v>540</v>
      </c>
      <c r="M309" s="3">
        <v>1870</v>
      </c>
      <c r="N309" s="4">
        <v>0.71</v>
      </c>
      <c r="O309" s="3">
        <v>55</v>
      </c>
      <c r="P309" s="3"/>
      <c r="Q309" s="3">
        <v>34</v>
      </c>
      <c r="R309" s="3">
        <v>55</v>
      </c>
      <c r="S309" s="5">
        <v>3.7</v>
      </c>
      <c r="T309" s="5">
        <v>3.7</v>
      </c>
      <c r="U309" s="4">
        <v>0.73</v>
      </c>
      <c r="V309" s="4">
        <v>0.71</v>
      </c>
      <c r="W309" s="4">
        <v>0.91</v>
      </c>
      <c r="X309" s="4">
        <v>0</v>
      </c>
      <c r="Y309" s="4">
        <v>0.62</v>
      </c>
      <c r="Z309" s="4">
        <v>0.28999999999999998</v>
      </c>
      <c r="AA309" s="3">
        <v>0</v>
      </c>
      <c r="AB309" s="3">
        <v>0</v>
      </c>
      <c r="AC309" s="5">
        <v>0</v>
      </c>
      <c r="AD309" s="4">
        <v>0</v>
      </c>
      <c r="AE309" s="4">
        <v>0</v>
      </c>
      <c r="AF309" s="4">
        <v>0</v>
      </c>
      <c r="AG309" s="4">
        <v>1</v>
      </c>
      <c r="AH309" s="4">
        <v>0.7</v>
      </c>
      <c r="AI309" s="4">
        <v>0.73</v>
      </c>
      <c r="AJ309" t="s">
        <v>72</v>
      </c>
      <c r="AK309" t="s">
        <v>62</v>
      </c>
      <c r="AL309" t="s">
        <v>62</v>
      </c>
      <c r="AM309" t="s">
        <v>63</v>
      </c>
      <c r="AN309" t="s">
        <v>64</v>
      </c>
      <c r="AO309" t="s">
        <v>79</v>
      </c>
      <c r="AP309" t="s">
        <v>75</v>
      </c>
    </row>
    <row r="310" spans="1:42" x14ac:dyDescent="0.25">
      <c r="A310" t="str">
        <f>HYPERLINK("HTTP://10.0.1.74/krs/563/detail","/krs/563")</f>
        <v>/krs/563</v>
      </c>
      <c r="B310">
        <v>563</v>
      </c>
      <c r="C310" t="s">
        <v>404</v>
      </c>
      <c r="D310" t="s">
        <v>310</v>
      </c>
      <c r="E310" t="s">
        <v>405</v>
      </c>
      <c r="F310" t="s">
        <v>335</v>
      </c>
      <c r="G310" s="1">
        <v>43216.376932870371</v>
      </c>
      <c r="H310" t="s">
        <v>96</v>
      </c>
      <c r="I310" t="s">
        <v>57</v>
      </c>
      <c r="K310" s="3">
        <v>1504</v>
      </c>
      <c r="L310" s="3">
        <v>1171</v>
      </c>
      <c r="M310" s="3">
        <v>2675</v>
      </c>
      <c r="N310" s="4">
        <v>0.56000000000000005</v>
      </c>
      <c r="O310" s="3">
        <v>107</v>
      </c>
      <c r="P310" s="3"/>
      <c r="Q310" s="3">
        <v>22</v>
      </c>
      <c r="R310" s="3">
        <v>107</v>
      </c>
      <c r="S310" s="5">
        <v>2.9</v>
      </c>
      <c r="T310" s="5">
        <v>3</v>
      </c>
      <c r="U310" s="4">
        <v>0.59</v>
      </c>
      <c r="V310" s="4">
        <v>0.56000000000000005</v>
      </c>
      <c r="W310" s="4">
        <v>0.76</v>
      </c>
      <c r="X310" s="4">
        <v>0</v>
      </c>
      <c r="Y310" s="4">
        <v>0.21</v>
      </c>
      <c r="Z310" s="4">
        <v>0.44</v>
      </c>
      <c r="AA310" s="3">
        <v>0</v>
      </c>
      <c r="AB310" s="3">
        <v>0</v>
      </c>
      <c r="AC310" s="5">
        <v>0</v>
      </c>
      <c r="AD310" s="4">
        <v>0</v>
      </c>
      <c r="AE310" s="4">
        <v>0</v>
      </c>
      <c r="AF310" s="4">
        <v>0</v>
      </c>
      <c r="AG310" s="4">
        <v>1</v>
      </c>
      <c r="AH310" s="4">
        <v>0.55000000000000004</v>
      </c>
      <c r="AI310" s="4">
        <v>0.54</v>
      </c>
      <c r="AJ310" t="s">
        <v>72</v>
      </c>
      <c r="AK310" t="s">
        <v>86</v>
      </c>
      <c r="AL310" t="s">
        <v>62</v>
      </c>
      <c r="AM310" t="s">
        <v>63</v>
      </c>
      <c r="AN310" t="s">
        <v>64</v>
      </c>
      <c r="AO310" t="s">
        <v>79</v>
      </c>
      <c r="AP310" t="s">
        <v>75</v>
      </c>
    </row>
    <row r="311" spans="1:42" x14ac:dyDescent="0.25">
      <c r="A311" t="str">
        <f>HYPERLINK("HTTP://10.0.1.74/krs/564/detail","/krs/564")</f>
        <v>/krs/564</v>
      </c>
      <c r="B311">
        <v>564</v>
      </c>
      <c r="C311" t="s">
        <v>406</v>
      </c>
      <c r="D311" t="s">
        <v>81</v>
      </c>
      <c r="E311" t="s">
        <v>54</v>
      </c>
      <c r="F311" t="s">
        <v>55</v>
      </c>
      <c r="G311" s="1">
        <v>43216.600497685184</v>
      </c>
      <c r="H311" t="s">
        <v>56</v>
      </c>
      <c r="I311" t="s">
        <v>57</v>
      </c>
      <c r="J311" t="s">
        <v>407</v>
      </c>
      <c r="K311" s="3">
        <v>247</v>
      </c>
      <c r="L311" s="3">
        <v>73</v>
      </c>
      <c r="M311" s="3">
        <v>320</v>
      </c>
      <c r="N311" s="4">
        <v>0.77</v>
      </c>
      <c r="O311" s="3">
        <v>16</v>
      </c>
      <c r="P311" s="3"/>
      <c r="Q311" s="3">
        <v>14</v>
      </c>
      <c r="R311" s="3">
        <v>16</v>
      </c>
      <c r="S311" s="5">
        <v>3.6</v>
      </c>
      <c r="T311" s="5">
        <v>4.0999999999999996</v>
      </c>
      <c r="U311" s="4">
        <v>0.81</v>
      </c>
      <c r="V311" s="4">
        <v>0.77</v>
      </c>
      <c r="W311" s="4">
        <v>1</v>
      </c>
      <c r="X311" s="4">
        <v>1.08</v>
      </c>
      <c r="Y311" s="4">
        <v>0.88</v>
      </c>
      <c r="Z311" s="4">
        <v>0.23</v>
      </c>
      <c r="AA311" s="3">
        <v>16</v>
      </c>
      <c r="AB311" s="3">
        <v>9</v>
      </c>
      <c r="AC311" s="5">
        <v>3.6</v>
      </c>
      <c r="AD311" s="4">
        <v>1</v>
      </c>
      <c r="AE311" s="4">
        <v>0.71</v>
      </c>
      <c r="AF311" s="4">
        <v>0.56000000000000005</v>
      </c>
      <c r="AG311" s="4">
        <v>0.28999999999999998</v>
      </c>
      <c r="AH311" s="4">
        <v>0.79</v>
      </c>
      <c r="AI311" s="4">
        <v>0.63</v>
      </c>
      <c r="AJ311" t="s">
        <v>72</v>
      </c>
      <c r="AK311" t="s">
        <v>62</v>
      </c>
      <c r="AL311" t="s">
        <v>62</v>
      </c>
      <c r="AM311" t="s">
        <v>63</v>
      </c>
      <c r="AN311" t="s">
        <v>64</v>
      </c>
      <c r="AO311" t="s">
        <v>79</v>
      </c>
      <c r="AP311" t="s">
        <v>66</v>
      </c>
    </row>
    <row r="312" spans="1:42" x14ac:dyDescent="0.25">
      <c r="A312" t="str">
        <f>HYPERLINK("HTTP://10.0.1.74/krs/565/detail","/krs/565")</f>
        <v>/krs/565</v>
      </c>
      <c r="B312">
        <v>565</v>
      </c>
      <c r="C312" t="s">
        <v>408</v>
      </c>
      <c r="D312" t="s">
        <v>310</v>
      </c>
      <c r="E312" t="s">
        <v>98</v>
      </c>
      <c r="F312" t="s">
        <v>90</v>
      </c>
      <c r="G312" s="1">
        <v>43216.626861215278</v>
      </c>
      <c r="H312" t="s">
        <v>301</v>
      </c>
      <c r="I312" t="s">
        <v>51</v>
      </c>
      <c r="K312" s="3"/>
      <c r="L312" s="3"/>
      <c r="M312" s="3"/>
      <c r="N312" s="4"/>
      <c r="O312" s="3"/>
      <c r="P312" s="3"/>
      <c r="Q312" s="3"/>
      <c r="R312" s="3"/>
      <c r="S312" s="5"/>
      <c r="T312" s="5"/>
      <c r="U312" s="4"/>
      <c r="V312" s="4"/>
      <c r="W312" s="4"/>
      <c r="X312" s="4"/>
      <c r="Y312" s="4"/>
      <c r="Z312" s="4"/>
      <c r="AA312" s="3"/>
      <c r="AB312" s="3"/>
      <c r="AC312" s="5"/>
      <c r="AD312" s="4"/>
      <c r="AE312" s="4"/>
      <c r="AF312" s="4"/>
      <c r="AG312" s="4"/>
      <c r="AH312" s="4"/>
      <c r="AI312" s="4"/>
      <c r="AJ312" t="s">
        <v>52</v>
      </c>
      <c r="AK312" t="s">
        <v>52</v>
      </c>
      <c r="AL312" t="s">
        <v>52</v>
      </c>
      <c r="AM312" t="s">
        <v>52</v>
      </c>
      <c r="AN312" t="s">
        <v>52</v>
      </c>
      <c r="AO312" t="s">
        <v>52</v>
      </c>
      <c r="AP312" t="s">
        <v>52</v>
      </c>
    </row>
    <row r="313" spans="1:42" x14ac:dyDescent="0.25">
      <c r="A313" t="str">
        <f>HYPERLINK("HTTP://10.0.1.74/krs/566/detail","/krs/566")</f>
        <v>/krs/566</v>
      </c>
      <c r="B313">
        <v>566</v>
      </c>
      <c r="C313" t="s">
        <v>409</v>
      </c>
      <c r="D313" t="s">
        <v>81</v>
      </c>
      <c r="E313" t="s">
        <v>54</v>
      </c>
      <c r="F313" t="s">
        <v>76</v>
      </c>
      <c r="G313" s="1">
        <v>43216.643425925926</v>
      </c>
      <c r="H313" t="s">
        <v>56</v>
      </c>
      <c r="I313" t="s">
        <v>57</v>
      </c>
      <c r="J313" t="s">
        <v>410</v>
      </c>
      <c r="K313" s="3">
        <v>351</v>
      </c>
      <c r="L313" s="3">
        <v>109</v>
      </c>
      <c r="M313" s="3">
        <v>460</v>
      </c>
      <c r="N313" s="4">
        <v>0.76</v>
      </c>
      <c r="O313" s="3">
        <v>23</v>
      </c>
      <c r="P313" s="3"/>
      <c r="Q313" s="3">
        <v>19</v>
      </c>
      <c r="R313" s="3">
        <v>23</v>
      </c>
      <c r="S313" s="5">
        <v>3.7</v>
      </c>
      <c r="T313" s="5">
        <v>4.0999999999999996</v>
      </c>
      <c r="U313" s="4">
        <v>0.82</v>
      </c>
      <c r="V313" s="4">
        <v>0.76</v>
      </c>
      <c r="W313" s="4">
        <v>1</v>
      </c>
      <c r="X313" s="4">
        <v>0</v>
      </c>
      <c r="Y313" s="4">
        <v>0.83</v>
      </c>
      <c r="Z313" s="4">
        <v>0.24</v>
      </c>
      <c r="AA313" s="3">
        <v>0</v>
      </c>
      <c r="AB313" s="3">
        <v>0</v>
      </c>
      <c r="AC313" s="5">
        <v>0</v>
      </c>
      <c r="AD313" s="4">
        <v>0</v>
      </c>
      <c r="AE313" s="4">
        <v>0</v>
      </c>
      <c r="AF313" s="4">
        <v>0</v>
      </c>
      <c r="AG313" s="4">
        <v>1</v>
      </c>
      <c r="AH313" s="4">
        <v>0.79</v>
      </c>
      <c r="AI313" s="4">
        <v>0.56999999999999995</v>
      </c>
      <c r="AJ313" t="s">
        <v>72</v>
      </c>
      <c r="AK313" t="s">
        <v>62</v>
      </c>
      <c r="AL313" t="s">
        <v>62</v>
      </c>
      <c r="AM313" t="s">
        <v>63</v>
      </c>
      <c r="AN313" t="s">
        <v>64</v>
      </c>
      <c r="AO313" t="s">
        <v>79</v>
      </c>
      <c r="AP313" t="s">
        <v>75</v>
      </c>
    </row>
    <row r="314" spans="1:42" x14ac:dyDescent="0.25">
      <c r="A314" t="str">
        <f>HYPERLINK("HTTP://10.0.1.74/krs/567/detail","/krs/567")</f>
        <v>/krs/567</v>
      </c>
      <c r="B314">
        <v>567</v>
      </c>
      <c r="C314" t="s">
        <v>411</v>
      </c>
      <c r="D314" t="s">
        <v>310</v>
      </c>
      <c r="E314" t="s">
        <v>135</v>
      </c>
      <c r="F314" t="s">
        <v>118</v>
      </c>
      <c r="G314" s="1">
        <v>43219.737280092595</v>
      </c>
      <c r="H314" t="s">
        <v>412</v>
      </c>
      <c r="I314" t="s">
        <v>57</v>
      </c>
      <c r="J314" t="s">
        <v>413</v>
      </c>
      <c r="K314" s="3">
        <v>179</v>
      </c>
      <c r="L314" s="3">
        <v>73</v>
      </c>
      <c r="M314" s="3">
        <v>252</v>
      </c>
      <c r="N314" s="4">
        <v>0.71</v>
      </c>
      <c r="O314" s="3">
        <v>12</v>
      </c>
      <c r="P314" s="3"/>
      <c r="Q314" s="3">
        <v>8</v>
      </c>
      <c r="R314" s="3">
        <v>12</v>
      </c>
      <c r="S314" s="5">
        <v>3.7</v>
      </c>
      <c r="T314" s="5">
        <v>3.7</v>
      </c>
      <c r="U314" s="4">
        <v>0.73</v>
      </c>
      <c r="V314" s="4">
        <v>0.71</v>
      </c>
      <c r="W314" s="4">
        <v>1</v>
      </c>
      <c r="X314" s="4">
        <v>0</v>
      </c>
      <c r="Y314" s="4">
        <v>0.67</v>
      </c>
      <c r="Z314" s="4">
        <v>0.28999999999999998</v>
      </c>
      <c r="AA314" s="3">
        <v>0</v>
      </c>
      <c r="AB314" s="3">
        <v>0</v>
      </c>
      <c r="AC314" s="5">
        <v>0</v>
      </c>
      <c r="AD314" s="4">
        <v>0</v>
      </c>
      <c r="AE314" s="4">
        <v>0</v>
      </c>
      <c r="AF314" s="4">
        <v>0</v>
      </c>
      <c r="AG314" s="4">
        <v>1</v>
      </c>
      <c r="AH314" s="4">
        <v>0.75</v>
      </c>
      <c r="AI314" s="4">
        <v>0</v>
      </c>
      <c r="AJ314" t="s">
        <v>72</v>
      </c>
      <c r="AK314" t="s">
        <v>62</v>
      </c>
      <c r="AL314" t="s">
        <v>62</v>
      </c>
      <c r="AM314" t="s">
        <v>63</v>
      </c>
      <c r="AN314" t="s">
        <v>64</v>
      </c>
      <c r="AO314" t="s">
        <v>79</v>
      </c>
      <c r="AP314" t="s">
        <v>75</v>
      </c>
    </row>
    <row r="315" spans="1:42" x14ac:dyDescent="0.25">
      <c r="A315" t="str">
        <f>HYPERLINK("HTTP://10.0.1.74/krs/568/detail","/krs/568")</f>
        <v>/krs/568</v>
      </c>
      <c r="B315">
        <v>568</v>
      </c>
      <c r="C315" t="s">
        <v>414</v>
      </c>
      <c r="D315" t="s">
        <v>310</v>
      </c>
      <c r="E315" t="s">
        <v>135</v>
      </c>
      <c r="F315" t="s">
        <v>206</v>
      </c>
      <c r="G315" s="1">
        <v>43219.776701388888</v>
      </c>
      <c r="H315" t="s">
        <v>412</v>
      </c>
      <c r="I315" t="s">
        <v>57</v>
      </c>
      <c r="J315" t="s">
        <v>415</v>
      </c>
      <c r="K315" s="3">
        <v>1020</v>
      </c>
      <c r="L315" s="3">
        <v>546</v>
      </c>
      <c r="M315" s="3">
        <v>1566</v>
      </c>
      <c r="N315" s="4">
        <v>0.65</v>
      </c>
      <c r="O315" s="3">
        <v>56</v>
      </c>
      <c r="P315" s="3"/>
      <c r="Q315" s="3">
        <v>26</v>
      </c>
      <c r="R315" s="3">
        <v>56</v>
      </c>
      <c r="S315" s="5">
        <v>3.5</v>
      </c>
      <c r="T315" s="5">
        <v>3.5</v>
      </c>
      <c r="U315" s="4">
        <v>0.69</v>
      </c>
      <c r="V315" s="4">
        <v>0.65</v>
      </c>
      <c r="W315" s="4">
        <v>0.91</v>
      </c>
      <c r="X315" s="4">
        <v>0.79</v>
      </c>
      <c r="Y315" s="4">
        <v>0.46</v>
      </c>
      <c r="Z315" s="4">
        <v>0.35</v>
      </c>
      <c r="AA315" s="3">
        <v>32</v>
      </c>
      <c r="AB315" s="3">
        <v>24</v>
      </c>
      <c r="AC315" s="5">
        <v>4.0999999999999996</v>
      </c>
      <c r="AD315" s="4">
        <v>1</v>
      </c>
      <c r="AE315" s="4">
        <v>0.82</v>
      </c>
      <c r="AF315" s="4">
        <v>0.75</v>
      </c>
      <c r="AG315" s="4">
        <v>0.18</v>
      </c>
      <c r="AH315" s="4">
        <v>0.68</v>
      </c>
      <c r="AI315" s="4">
        <v>0</v>
      </c>
      <c r="AJ315" t="s">
        <v>72</v>
      </c>
      <c r="AK315" t="s">
        <v>61</v>
      </c>
      <c r="AL315" t="s">
        <v>62</v>
      </c>
      <c r="AM315" t="s">
        <v>73</v>
      </c>
      <c r="AN315" t="s">
        <v>64</v>
      </c>
      <c r="AO315" t="s">
        <v>74</v>
      </c>
      <c r="AP315" t="s">
        <v>75</v>
      </c>
    </row>
    <row r="316" spans="1:42" x14ac:dyDescent="0.25">
      <c r="A316" t="str">
        <f>HYPERLINK("HTTP://10.0.1.74/krs/569/detail","/krs/569")</f>
        <v>/krs/569</v>
      </c>
      <c r="B316">
        <v>569</v>
      </c>
      <c r="C316" t="s">
        <v>416</v>
      </c>
      <c r="D316" t="s">
        <v>310</v>
      </c>
      <c r="E316" t="s">
        <v>135</v>
      </c>
      <c r="F316" t="s">
        <v>335</v>
      </c>
      <c r="G316" s="1">
        <v>43219.80028935185</v>
      </c>
      <c r="H316" t="s">
        <v>412</v>
      </c>
      <c r="I316" t="s">
        <v>57</v>
      </c>
      <c r="J316" t="s">
        <v>417</v>
      </c>
      <c r="K316" s="3">
        <v>1033</v>
      </c>
      <c r="L316" s="3">
        <v>560</v>
      </c>
      <c r="M316" s="3">
        <v>1593</v>
      </c>
      <c r="N316" s="4">
        <v>0.65</v>
      </c>
      <c r="O316" s="3">
        <v>59</v>
      </c>
      <c r="P316" s="3"/>
      <c r="Q316" s="3">
        <v>27</v>
      </c>
      <c r="R316" s="3">
        <v>59</v>
      </c>
      <c r="S316" s="5">
        <v>3.4</v>
      </c>
      <c r="T316" s="5">
        <v>3.4</v>
      </c>
      <c r="U316" s="4">
        <v>0.67</v>
      </c>
      <c r="V316" s="4">
        <v>0.65</v>
      </c>
      <c r="W316" s="4">
        <v>0.81</v>
      </c>
      <c r="X316" s="4">
        <v>0</v>
      </c>
      <c r="Y316" s="4">
        <v>0.46</v>
      </c>
      <c r="Z316" s="4">
        <v>0.35</v>
      </c>
      <c r="AA316" s="3">
        <v>0</v>
      </c>
      <c r="AB316" s="3">
        <v>0</v>
      </c>
      <c r="AC316" s="5">
        <v>0</v>
      </c>
      <c r="AD316" s="4">
        <v>0</v>
      </c>
      <c r="AE316" s="4">
        <v>0</v>
      </c>
      <c r="AF316" s="4">
        <v>0</v>
      </c>
      <c r="AG316" s="4">
        <v>1</v>
      </c>
      <c r="AH316" s="4">
        <v>0.68</v>
      </c>
      <c r="AI316" s="4">
        <v>0.41</v>
      </c>
      <c r="AJ316" t="s">
        <v>72</v>
      </c>
      <c r="AK316" t="s">
        <v>61</v>
      </c>
      <c r="AL316" t="s">
        <v>62</v>
      </c>
      <c r="AM316" t="s">
        <v>63</v>
      </c>
      <c r="AN316" t="s">
        <v>64</v>
      </c>
      <c r="AO316" t="s">
        <v>79</v>
      </c>
      <c r="AP316" t="s">
        <v>75</v>
      </c>
    </row>
    <row r="317" spans="1:42" x14ac:dyDescent="0.25">
      <c r="A317" t="str">
        <f>HYPERLINK("HTTP://10.0.1.74/krs/571/detail","/krs/571")</f>
        <v>/krs/571</v>
      </c>
      <c r="B317">
        <v>571</v>
      </c>
      <c r="C317" t="s">
        <v>53</v>
      </c>
      <c r="D317" t="s">
        <v>310</v>
      </c>
      <c r="E317" t="s">
        <v>111</v>
      </c>
      <c r="F317" t="s">
        <v>126</v>
      </c>
      <c r="G317" s="1">
        <v>43235</v>
      </c>
      <c r="H317" t="s">
        <v>212</v>
      </c>
      <c r="I317" t="s">
        <v>51</v>
      </c>
      <c r="K317" s="3">
        <v>883</v>
      </c>
      <c r="L317" s="3">
        <v>449</v>
      </c>
      <c r="M317" s="3">
        <v>1332</v>
      </c>
      <c r="N317" s="4">
        <v>0.66</v>
      </c>
      <c r="O317" s="3">
        <v>74</v>
      </c>
      <c r="P317" s="3"/>
      <c r="Q317" s="3">
        <v>27</v>
      </c>
      <c r="R317" s="3">
        <v>74</v>
      </c>
      <c r="S317" s="5">
        <v>3.4</v>
      </c>
      <c r="T317" s="5">
        <v>3.4</v>
      </c>
      <c r="U317" s="4">
        <v>0.67</v>
      </c>
      <c r="V317" s="4">
        <v>0.66</v>
      </c>
      <c r="W317" s="4">
        <v>0.96</v>
      </c>
      <c r="X317" s="4">
        <v>0.8</v>
      </c>
      <c r="Y317" s="4">
        <v>0.36</v>
      </c>
      <c r="Z317" s="4">
        <v>0.34</v>
      </c>
      <c r="AA317" s="3">
        <v>47</v>
      </c>
      <c r="AB317" s="3">
        <v>33</v>
      </c>
      <c r="AC317" s="5">
        <v>4.0999999999999996</v>
      </c>
      <c r="AD317" s="4">
        <v>1</v>
      </c>
      <c r="AE317" s="4">
        <v>0.83</v>
      </c>
      <c r="AF317" s="4">
        <v>0.7</v>
      </c>
      <c r="AG317" s="4">
        <v>0.17</v>
      </c>
      <c r="AH317" s="4">
        <v>0.68</v>
      </c>
      <c r="AI317" s="4">
        <v>0.6</v>
      </c>
      <c r="AJ317" t="s">
        <v>72</v>
      </c>
      <c r="AK317" t="s">
        <v>61</v>
      </c>
      <c r="AL317" t="s">
        <v>62</v>
      </c>
      <c r="AM317" t="s">
        <v>73</v>
      </c>
      <c r="AN317" t="s">
        <v>64</v>
      </c>
      <c r="AO317" t="s">
        <v>74</v>
      </c>
      <c r="AP317" t="s">
        <v>75</v>
      </c>
    </row>
    <row r="318" spans="1:42" x14ac:dyDescent="0.25">
      <c r="A318" t="str">
        <f>HYPERLINK("HTTP://10.0.1.74/krs/572/detail","/krs/572")</f>
        <v>/krs/572</v>
      </c>
      <c r="B318">
        <v>572</v>
      </c>
      <c r="C318" t="s">
        <v>259</v>
      </c>
      <c r="D318" t="s">
        <v>310</v>
      </c>
      <c r="E318" t="s">
        <v>98</v>
      </c>
      <c r="F318" t="s">
        <v>206</v>
      </c>
      <c r="G318" s="1">
        <v>43236</v>
      </c>
      <c r="H318" t="s">
        <v>190</v>
      </c>
      <c r="I318" t="s">
        <v>57</v>
      </c>
      <c r="K318" s="3">
        <v>1686</v>
      </c>
      <c r="L318" s="3">
        <v>638</v>
      </c>
      <c r="M318" s="3">
        <v>2324</v>
      </c>
      <c r="N318" s="4">
        <v>0.73</v>
      </c>
      <c r="O318" s="3">
        <v>83</v>
      </c>
      <c r="P318" s="3"/>
      <c r="Q318" s="3">
        <v>53</v>
      </c>
      <c r="R318" s="3">
        <v>83</v>
      </c>
      <c r="S318" s="5">
        <v>3.8</v>
      </c>
      <c r="T318" s="5">
        <v>3.8</v>
      </c>
      <c r="U318" s="4">
        <v>0.75</v>
      </c>
      <c r="V318" s="4">
        <v>0.73</v>
      </c>
      <c r="W318" s="4">
        <v>0.96</v>
      </c>
      <c r="X318" s="4">
        <v>0.86</v>
      </c>
      <c r="Y318" s="4">
        <v>0.64</v>
      </c>
      <c r="Z318" s="4">
        <v>0.27</v>
      </c>
      <c r="AA318" s="3">
        <v>78</v>
      </c>
      <c r="AB318" s="3">
        <v>62</v>
      </c>
      <c r="AC318" s="5">
        <v>4.2</v>
      </c>
      <c r="AD318" s="4">
        <v>1</v>
      </c>
      <c r="AE318" s="4">
        <v>0.85</v>
      </c>
      <c r="AF318" s="4">
        <v>0.79</v>
      </c>
      <c r="AG318" s="4">
        <v>0.15</v>
      </c>
      <c r="AH318" s="4">
        <v>0.63</v>
      </c>
      <c r="AI318" s="4">
        <v>0.8</v>
      </c>
      <c r="AJ318" t="s">
        <v>72</v>
      </c>
      <c r="AK318" t="s">
        <v>62</v>
      </c>
      <c r="AL318" t="s">
        <v>62</v>
      </c>
      <c r="AM318" t="s">
        <v>73</v>
      </c>
      <c r="AN318" t="s">
        <v>64</v>
      </c>
      <c r="AO318" t="s">
        <v>74</v>
      </c>
      <c r="AP318" t="s">
        <v>75</v>
      </c>
    </row>
    <row r="319" spans="1:42" x14ac:dyDescent="0.25">
      <c r="A319" t="str">
        <f>HYPERLINK("HTTP://10.0.1.74/krs/573/detail","/krs/573")</f>
        <v>/krs/573</v>
      </c>
      <c r="B319">
        <v>573</v>
      </c>
      <c r="C319" t="s">
        <v>101</v>
      </c>
      <c r="D319" t="s">
        <v>310</v>
      </c>
      <c r="E319" t="s">
        <v>98</v>
      </c>
      <c r="F319" t="s">
        <v>136</v>
      </c>
      <c r="G319" s="1">
        <v>43236</v>
      </c>
      <c r="H319" t="s">
        <v>174</v>
      </c>
      <c r="I319" t="s">
        <v>51</v>
      </c>
      <c r="K319" s="3">
        <v>592</v>
      </c>
      <c r="L319" s="3">
        <v>136</v>
      </c>
      <c r="M319" s="3">
        <v>728</v>
      </c>
      <c r="N319" s="4">
        <v>0.81</v>
      </c>
      <c r="O319" s="3">
        <v>26</v>
      </c>
      <c r="P319" s="3"/>
      <c r="Q319" s="3">
        <v>24</v>
      </c>
      <c r="R319" s="3">
        <v>26</v>
      </c>
      <c r="S319" s="5">
        <v>4.2</v>
      </c>
      <c r="T319" s="5">
        <v>4.2</v>
      </c>
      <c r="U319" s="4">
        <v>0.85</v>
      </c>
      <c r="V319" s="4">
        <v>0.81</v>
      </c>
      <c r="W319" s="4">
        <v>1</v>
      </c>
      <c r="X319" s="4">
        <v>0.96</v>
      </c>
      <c r="Y319" s="4">
        <v>0.92</v>
      </c>
      <c r="Z319" s="4">
        <v>0.19</v>
      </c>
      <c r="AA319" s="3">
        <v>25</v>
      </c>
      <c r="AB319" s="3">
        <v>18</v>
      </c>
      <c r="AC319" s="5">
        <v>4.2</v>
      </c>
      <c r="AD319" s="4">
        <v>1</v>
      </c>
      <c r="AE319" s="4">
        <v>0.84</v>
      </c>
      <c r="AF319" s="4">
        <v>0.72</v>
      </c>
      <c r="AG319" s="4">
        <v>0.16</v>
      </c>
      <c r="AH319" s="4">
        <v>0.73</v>
      </c>
      <c r="AI319" s="4">
        <v>0.86</v>
      </c>
      <c r="AJ319" t="s">
        <v>72</v>
      </c>
      <c r="AK319" t="s">
        <v>62</v>
      </c>
      <c r="AL319" t="s">
        <v>62</v>
      </c>
      <c r="AM319" t="s">
        <v>63</v>
      </c>
      <c r="AN319" t="s">
        <v>64</v>
      </c>
      <c r="AO319" t="s">
        <v>79</v>
      </c>
      <c r="AP319" t="s">
        <v>66</v>
      </c>
    </row>
    <row r="320" spans="1:42" x14ac:dyDescent="0.25">
      <c r="A320" t="str">
        <f>HYPERLINK("HTTP://10.0.1.74/krs/574/detail","/krs/574")</f>
        <v>/krs/574</v>
      </c>
      <c r="B320">
        <v>574</v>
      </c>
      <c r="C320" t="s">
        <v>418</v>
      </c>
      <c r="D320" t="s">
        <v>310</v>
      </c>
      <c r="E320" t="s">
        <v>135</v>
      </c>
      <c r="F320" t="s">
        <v>147</v>
      </c>
      <c r="G320" s="1">
        <v>43220.881099537037</v>
      </c>
      <c r="H320" t="s">
        <v>412</v>
      </c>
      <c r="I320" t="s">
        <v>57</v>
      </c>
      <c r="J320" t="s">
        <v>419</v>
      </c>
      <c r="K320" s="3">
        <v>263</v>
      </c>
      <c r="L320" s="3">
        <v>52</v>
      </c>
      <c r="M320" s="3">
        <v>315</v>
      </c>
      <c r="N320" s="4">
        <v>0.83</v>
      </c>
      <c r="O320" s="3">
        <v>15</v>
      </c>
      <c r="P320" s="3"/>
      <c r="Q320" s="3">
        <v>12</v>
      </c>
      <c r="R320" s="3">
        <v>15</v>
      </c>
      <c r="S320" s="5">
        <v>4.2</v>
      </c>
      <c r="T320" s="5">
        <v>4.2</v>
      </c>
      <c r="U320" s="4">
        <v>0.84</v>
      </c>
      <c r="V320" s="4">
        <v>0.83</v>
      </c>
      <c r="W320" s="4">
        <v>1</v>
      </c>
      <c r="X320" s="4">
        <v>0</v>
      </c>
      <c r="Y320" s="4">
        <v>0.8</v>
      </c>
      <c r="Z320" s="4">
        <v>0.17</v>
      </c>
      <c r="AA320" s="3">
        <v>0</v>
      </c>
      <c r="AB320" s="3">
        <v>0</v>
      </c>
      <c r="AC320" s="5">
        <v>0</v>
      </c>
      <c r="AD320" s="4">
        <v>0</v>
      </c>
      <c r="AE320" s="4">
        <v>0</v>
      </c>
      <c r="AF320" s="4">
        <v>0</v>
      </c>
      <c r="AG320" s="4">
        <v>1</v>
      </c>
      <c r="AH320" s="4">
        <v>0.81</v>
      </c>
      <c r="AI320" s="4">
        <v>0</v>
      </c>
      <c r="AJ320" t="s">
        <v>72</v>
      </c>
      <c r="AK320" t="s">
        <v>62</v>
      </c>
      <c r="AL320" t="s">
        <v>62</v>
      </c>
      <c r="AM320" t="s">
        <v>63</v>
      </c>
      <c r="AN320" t="s">
        <v>64</v>
      </c>
      <c r="AO320" t="s">
        <v>79</v>
      </c>
      <c r="AP320" t="s">
        <v>75</v>
      </c>
    </row>
    <row r="321" spans="1:42" x14ac:dyDescent="0.25">
      <c r="A321" t="str">
        <f>HYPERLINK("HTTP://10.0.1.74/krs/575/detail","/krs/575")</f>
        <v>/krs/575</v>
      </c>
      <c r="B321">
        <v>575</v>
      </c>
      <c r="C321" t="s">
        <v>309</v>
      </c>
      <c r="D321" t="s">
        <v>310</v>
      </c>
      <c r="E321" t="s">
        <v>168</v>
      </c>
      <c r="F321" t="s">
        <v>335</v>
      </c>
      <c r="G321" s="1">
        <v>43220</v>
      </c>
      <c r="H321" t="s">
        <v>169</v>
      </c>
      <c r="I321" t="s">
        <v>57</v>
      </c>
      <c r="J321" t="s">
        <v>420</v>
      </c>
      <c r="K321" s="3">
        <v>1698</v>
      </c>
      <c r="L321" s="3">
        <v>752</v>
      </c>
      <c r="M321" s="3">
        <v>2450</v>
      </c>
      <c r="N321" s="4">
        <v>0.69</v>
      </c>
      <c r="O321" s="3">
        <v>49</v>
      </c>
      <c r="P321" s="3"/>
      <c r="Q321" s="3">
        <v>35</v>
      </c>
      <c r="R321" s="3">
        <v>48</v>
      </c>
      <c r="S321" s="5">
        <v>3.8</v>
      </c>
      <c r="T321" s="5">
        <v>3.7</v>
      </c>
      <c r="U321" s="4">
        <v>0.76</v>
      </c>
      <c r="V321" s="4">
        <v>0.69</v>
      </c>
      <c r="W321" s="4">
        <v>0.98</v>
      </c>
      <c r="X321" s="4">
        <v>0</v>
      </c>
      <c r="Y321" s="4">
        <v>0.73</v>
      </c>
      <c r="Z321" s="4">
        <v>0.31</v>
      </c>
      <c r="AA321" s="3">
        <v>0</v>
      </c>
      <c r="AB321" s="3">
        <v>0</v>
      </c>
      <c r="AC321" s="5">
        <v>0</v>
      </c>
      <c r="AD321" s="4">
        <v>0</v>
      </c>
      <c r="AE321" s="4">
        <v>0</v>
      </c>
      <c r="AF321" s="4">
        <v>0</v>
      </c>
      <c r="AG321" s="4">
        <v>1</v>
      </c>
      <c r="AH321" s="4">
        <v>0.66</v>
      </c>
      <c r="AI321" s="4">
        <v>0.67</v>
      </c>
      <c r="AJ321" t="s">
        <v>72</v>
      </c>
      <c r="AK321" t="s">
        <v>61</v>
      </c>
      <c r="AL321" t="s">
        <v>62</v>
      </c>
      <c r="AM321" t="s">
        <v>63</v>
      </c>
      <c r="AN321" t="s">
        <v>64</v>
      </c>
      <c r="AO321" t="s">
        <v>79</v>
      </c>
      <c r="AP321" t="s">
        <v>75</v>
      </c>
    </row>
    <row r="322" spans="1:42" x14ac:dyDescent="0.25">
      <c r="A322" t="str">
        <f>HYPERLINK("HTTP://10.0.1.74/krs/576/detail","/krs/576")</f>
        <v>/krs/576</v>
      </c>
      <c r="B322">
        <v>576</v>
      </c>
      <c r="C322" t="s">
        <v>309</v>
      </c>
      <c r="D322" t="s">
        <v>310</v>
      </c>
      <c r="E322" t="s">
        <v>168</v>
      </c>
      <c r="F322" t="s">
        <v>95</v>
      </c>
      <c r="G322" s="1">
        <v>43220</v>
      </c>
      <c r="H322" t="s">
        <v>169</v>
      </c>
      <c r="I322" t="s">
        <v>57</v>
      </c>
      <c r="J322" t="s">
        <v>421</v>
      </c>
      <c r="K322" s="3">
        <v>2673</v>
      </c>
      <c r="L322" s="3">
        <v>627</v>
      </c>
      <c r="M322" s="3">
        <v>3300</v>
      </c>
      <c r="N322" s="4">
        <v>0.81</v>
      </c>
      <c r="O322" s="3">
        <v>66</v>
      </c>
      <c r="P322" s="3"/>
      <c r="Q322" s="3">
        <v>58</v>
      </c>
      <c r="R322" s="3">
        <v>66</v>
      </c>
      <c r="S322" s="5">
        <v>4.2</v>
      </c>
      <c r="T322" s="5">
        <v>4.2</v>
      </c>
      <c r="U322" s="4">
        <v>0.83</v>
      </c>
      <c r="V322" s="4">
        <v>0.81</v>
      </c>
      <c r="W322" s="4">
        <v>1</v>
      </c>
      <c r="X322" s="4">
        <v>0</v>
      </c>
      <c r="Y322" s="4">
        <v>0.88</v>
      </c>
      <c r="Z322" s="4">
        <v>0.19</v>
      </c>
      <c r="AA322" s="3">
        <v>0</v>
      </c>
      <c r="AB322" s="3">
        <v>0</v>
      </c>
      <c r="AC322" s="5">
        <v>0</v>
      </c>
      <c r="AD322" s="4">
        <v>0</v>
      </c>
      <c r="AE322" s="4">
        <v>0</v>
      </c>
      <c r="AF322" s="4">
        <v>0</v>
      </c>
      <c r="AG322" s="4">
        <v>1</v>
      </c>
      <c r="AH322" s="4">
        <v>0.82</v>
      </c>
      <c r="AI322" s="4">
        <v>0.77</v>
      </c>
      <c r="AJ322" t="s">
        <v>72</v>
      </c>
      <c r="AK322" t="s">
        <v>62</v>
      </c>
      <c r="AL322" t="s">
        <v>62</v>
      </c>
      <c r="AM322" t="s">
        <v>63</v>
      </c>
      <c r="AN322" t="s">
        <v>64</v>
      </c>
      <c r="AO322" t="s">
        <v>79</v>
      </c>
      <c r="AP322" t="s">
        <v>75</v>
      </c>
    </row>
    <row r="323" spans="1:42" x14ac:dyDescent="0.25">
      <c r="A323" t="str">
        <f>HYPERLINK("HTTP://10.0.1.74/krs/577/detail","/krs/577")</f>
        <v>/krs/577</v>
      </c>
      <c r="B323">
        <v>577</v>
      </c>
      <c r="C323" t="s">
        <v>309</v>
      </c>
      <c r="D323" t="s">
        <v>310</v>
      </c>
      <c r="E323" t="s">
        <v>168</v>
      </c>
      <c r="F323" t="s">
        <v>126</v>
      </c>
      <c r="G323" s="1">
        <v>43220</v>
      </c>
      <c r="H323" t="s">
        <v>169</v>
      </c>
      <c r="I323" t="s">
        <v>57</v>
      </c>
      <c r="J323" t="s">
        <v>422</v>
      </c>
      <c r="K323" s="3">
        <v>1617</v>
      </c>
      <c r="L323" s="3">
        <v>453</v>
      </c>
      <c r="M323" s="3">
        <v>2070</v>
      </c>
      <c r="N323" s="4">
        <v>0.78</v>
      </c>
      <c r="O323" s="3">
        <v>46</v>
      </c>
      <c r="P323" s="3"/>
      <c r="Q323" s="3">
        <v>42</v>
      </c>
      <c r="R323" s="3">
        <v>46</v>
      </c>
      <c r="S323" s="5">
        <v>4.0999999999999996</v>
      </c>
      <c r="T323" s="5">
        <v>4.0999999999999996</v>
      </c>
      <c r="U323" s="4">
        <v>0.82</v>
      </c>
      <c r="V323" s="4">
        <v>0.78</v>
      </c>
      <c r="W323" s="4">
        <v>1</v>
      </c>
      <c r="X323" s="4">
        <v>0.92</v>
      </c>
      <c r="Y323" s="4">
        <v>0.91</v>
      </c>
      <c r="Z323" s="4">
        <v>0.22</v>
      </c>
      <c r="AA323" s="3">
        <v>22</v>
      </c>
      <c r="AB323" s="3">
        <v>16</v>
      </c>
      <c r="AC323" s="5">
        <v>4.3</v>
      </c>
      <c r="AD323" s="4">
        <v>1</v>
      </c>
      <c r="AE323" s="4">
        <v>0.85</v>
      </c>
      <c r="AF323" s="4">
        <v>0.73</v>
      </c>
      <c r="AG323" s="4">
        <v>0.15</v>
      </c>
      <c r="AH323" s="4">
        <v>0.78</v>
      </c>
      <c r="AI323" s="4">
        <v>0.71</v>
      </c>
      <c r="AJ323" t="s">
        <v>72</v>
      </c>
      <c r="AK323" t="s">
        <v>62</v>
      </c>
      <c r="AL323" t="s">
        <v>62</v>
      </c>
      <c r="AM323" t="s">
        <v>104</v>
      </c>
      <c r="AN323" t="s">
        <v>64</v>
      </c>
      <c r="AO323" t="s">
        <v>65</v>
      </c>
      <c r="AP323" t="s">
        <v>66</v>
      </c>
    </row>
    <row r="324" spans="1:42" x14ac:dyDescent="0.25">
      <c r="A324" t="str">
        <f>HYPERLINK("HTTP://10.0.1.74/krs/578/detail","/krs/578")</f>
        <v>/krs/578</v>
      </c>
      <c r="B324">
        <v>578</v>
      </c>
      <c r="C324" t="s">
        <v>423</v>
      </c>
      <c r="D324" t="s">
        <v>310</v>
      </c>
      <c r="E324" t="s">
        <v>141</v>
      </c>
      <c r="F324" t="s">
        <v>126</v>
      </c>
      <c r="G324" s="1">
        <v>43238</v>
      </c>
      <c r="H324" t="s">
        <v>212</v>
      </c>
      <c r="I324" t="s">
        <v>51</v>
      </c>
      <c r="K324" s="3">
        <v>697</v>
      </c>
      <c r="L324" s="3">
        <v>265</v>
      </c>
      <c r="M324" s="3">
        <v>962</v>
      </c>
      <c r="N324" s="4">
        <v>0.72</v>
      </c>
      <c r="O324" s="3">
        <v>74</v>
      </c>
      <c r="P324" s="3"/>
      <c r="Q324" s="3">
        <v>45</v>
      </c>
      <c r="R324" s="3">
        <v>74</v>
      </c>
      <c r="S324" s="5">
        <v>3.7</v>
      </c>
      <c r="T324" s="5">
        <v>3.7</v>
      </c>
      <c r="U324" s="4">
        <v>0.75</v>
      </c>
      <c r="V324" s="4">
        <v>0.72</v>
      </c>
      <c r="W324" s="4">
        <v>1</v>
      </c>
      <c r="X324" s="4">
        <v>0.88</v>
      </c>
      <c r="Y324" s="4">
        <v>0.61</v>
      </c>
      <c r="Z324" s="4">
        <v>0.28000000000000003</v>
      </c>
      <c r="AA324" s="3">
        <v>47</v>
      </c>
      <c r="AB324" s="3">
        <v>29</v>
      </c>
      <c r="AC324" s="5">
        <v>4.0999999999999996</v>
      </c>
      <c r="AD324" s="4">
        <v>1</v>
      </c>
      <c r="AE324" s="4">
        <v>0.82</v>
      </c>
      <c r="AF324" s="4">
        <v>0.62</v>
      </c>
      <c r="AG324" s="4">
        <v>0.18</v>
      </c>
      <c r="AH324" s="4">
        <v>0.7</v>
      </c>
      <c r="AI324" s="4">
        <v>0.73</v>
      </c>
      <c r="AJ324" t="s">
        <v>72</v>
      </c>
      <c r="AK324" t="s">
        <v>62</v>
      </c>
      <c r="AL324" t="s">
        <v>62</v>
      </c>
      <c r="AM324" t="s">
        <v>104</v>
      </c>
      <c r="AN324" t="s">
        <v>97</v>
      </c>
      <c r="AO324" t="s">
        <v>74</v>
      </c>
      <c r="AP324" t="s">
        <v>75</v>
      </c>
    </row>
    <row r="325" spans="1:42" x14ac:dyDescent="0.25">
      <c r="A325" t="str">
        <f>HYPERLINK("HTTP://10.0.1.74/krs/579/detail","/krs/579")</f>
        <v>/krs/579</v>
      </c>
      <c r="B325">
        <v>579</v>
      </c>
      <c r="C325" t="s">
        <v>424</v>
      </c>
      <c r="D325" t="s">
        <v>310</v>
      </c>
      <c r="E325" t="s">
        <v>111</v>
      </c>
      <c r="F325" t="s">
        <v>284</v>
      </c>
      <c r="G325" s="1">
        <v>43244</v>
      </c>
      <c r="H325" t="s">
        <v>272</v>
      </c>
      <c r="I325" t="s">
        <v>51</v>
      </c>
      <c r="J325" t="s">
        <v>425</v>
      </c>
      <c r="K325" s="3">
        <v>1687</v>
      </c>
      <c r="L325" s="3">
        <v>977</v>
      </c>
      <c r="M325" s="3">
        <v>2664</v>
      </c>
      <c r="N325" s="4">
        <v>0.63</v>
      </c>
      <c r="O325" s="3">
        <v>111</v>
      </c>
      <c r="P325" s="3"/>
      <c r="Q325" s="3">
        <v>45</v>
      </c>
      <c r="R325" s="3">
        <v>111</v>
      </c>
      <c r="S325" s="5">
        <v>3.3</v>
      </c>
      <c r="T325" s="5">
        <v>3.3</v>
      </c>
      <c r="U325" s="4">
        <v>0.66</v>
      </c>
      <c r="V325" s="4">
        <v>0.63</v>
      </c>
      <c r="W325" s="4">
        <v>0.91</v>
      </c>
      <c r="X325" s="4">
        <v>0</v>
      </c>
      <c r="Y325" s="4">
        <v>0.41</v>
      </c>
      <c r="Z325" s="4">
        <v>0.37</v>
      </c>
      <c r="AA325" s="3">
        <v>0</v>
      </c>
      <c r="AB325" s="3">
        <v>0</v>
      </c>
      <c r="AC325" s="5">
        <v>0</v>
      </c>
      <c r="AD325" s="4">
        <v>0</v>
      </c>
      <c r="AE325" s="4">
        <v>0</v>
      </c>
      <c r="AF325" s="4">
        <v>0</v>
      </c>
      <c r="AG325" s="4">
        <v>1</v>
      </c>
      <c r="AH325" s="4">
        <v>0.6</v>
      </c>
      <c r="AI325" s="4">
        <v>0.66</v>
      </c>
      <c r="AJ325" t="s">
        <v>72</v>
      </c>
      <c r="AK325" t="s">
        <v>61</v>
      </c>
      <c r="AL325" t="s">
        <v>62</v>
      </c>
      <c r="AM325" t="s">
        <v>63</v>
      </c>
      <c r="AN325" t="s">
        <v>64</v>
      </c>
      <c r="AO325" t="s">
        <v>79</v>
      </c>
      <c r="AP325" t="s">
        <v>75</v>
      </c>
    </row>
    <row r="326" spans="1:42" x14ac:dyDescent="0.25">
      <c r="A326" t="str">
        <f>HYPERLINK("HTTP://10.0.1.74/krs/580/detail","/krs/580")</f>
        <v>/krs/580</v>
      </c>
      <c r="B326">
        <v>580</v>
      </c>
      <c r="C326" t="s">
        <v>53</v>
      </c>
      <c r="D326" t="s">
        <v>310</v>
      </c>
      <c r="E326" t="s">
        <v>141</v>
      </c>
      <c r="F326" t="s">
        <v>176</v>
      </c>
      <c r="G326" s="1">
        <v>43237</v>
      </c>
      <c r="H326" t="s">
        <v>212</v>
      </c>
      <c r="I326" t="s">
        <v>51</v>
      </c>
      <c r="K326" s="3">
        <v>542</v>
      </c>
      <c r="L326" s="3">
        <v>241</v>
      </c>
      <c r="M326" s="3">
        <v>783</v>
      </c>
      <c r="N326" s="4">
        <v>0.69</v>
      </c>
      <c r="O326" s="3">
        <v>27</v>
      </c>
      <c r="P326" s="3"/>
      <c r="Q326" s="3">
        <v>16</v>
      </c>
      <c r="R326" s="3">
        <v>27</v>
      </c>
      <c r="S326" s="5">
        <v>3.7</v>
      </c>
      <c r="T326" s="5">
        <v>3.7</v>
      </c>
      <c r="U326" s="4">
        <v>0.75</v>
      </c>
      <c r="V326" s="4">
        <v>0.69</v>
      </c>
      <c r="W326" s="4">
        <v>1</v>
      </c>
      <c r="X326" s="4">
        <v>0.85</v>
      </c>
      <c r="Y326" s="4">
        <v>0.59</v>
      </c>
      <c r="Z326" s="4">
        <v>0.31</v>
      </c>
      <c r="AA326" s="3">
        <v>15</v>
      </c>
      <c r="AB326" s="3">
        <v>11</v>
      </c>
      <c r="AC326" s="5">
        <v>4.0999999999999996</v>
      </c>
      <c r="AD326" s="4">
        <v>1</v>
      </c>
      <c r="AE326" s="4">
        <v>0.81</v>
      </c>
      <c r="AF326" s="4">
        <v>0.73</v>
      </c>
      <c r="AG326" s="4">
        <v>0.19</v>
      </c>
      <c r="AH326" s="4">
        <v>0.64</v>
      </c>
      <c r="AI326" s="4">
        <v>0.71</v>
      </c>
      <c r="AJ326" t="s">
        <v>72</v>
      </c>
      <c r="AK326" t="s">
        <v>61</v>
      </c>
      <c r="AL326" t="s">
        <v>62</v>
      </c>
      <c r="AM326" t="s">
        <v>73</v>
      </c>
      <c r="AN326" t="s">
        <v>64</v>
      </c>
      <c r="AO326" t="s">
        <v>74</v>
      </c>
      <c r="AP326" t="s">
        <v>75</v>
      </c>
    </row>
    <row r="327" spans="1:42" x14ac:dyDescent="0.25">
      <c r="A327" t="str">
        <f>HYPERLINK("HTTP://10.0.1.74/krs/581/detail","/krs/581")</f>
        <v>/krs/581</v>
      </c>
      <c r="B327">
        <v>581</v>
      </c>
      <c r="C327" t="s">
        <v>426</v>
      </c>
      <c r="D327" t="s">
        <v>310</v>
      </c>
      <c r="E327" t="s">
        <v>111</v>
      </c>
      <c r="F327" t="s">
        <v>246</v>
      </c>
      <c r="G327" s="1">
        <v>43232</v>
      </c>
      <c r="H327" t="s">
        <v>272</v>
      </c>
      <c r="I327" t="s">
        <v>51</v>
      </c>
      <c r="J327" t="s">
        <v>427</v>
      </c>
      <c r="K327" s="3">
        <v>407</v>
      </c>
      <c r="L327" s="3">
        <v>313</v>
      </c>
      <c r="M327" s="3">
        <v>720</v>
      </c>
      <c r="N327" s="4">
        <v>0.56999999999999995</v>
      </c>
      <c r="O327" s="3">
        <v>36</v>
      </c>
      <c r="P327" s="3"/>
      <c r="Q327" s="3">
        <v>13</v>
      </c>
      <c r="R327" s="3">
        <v>36</v>
      </c>
      <c r="S327" s="5">
        <v>3</v>
      </c>
      <c r="T327" s="5">
        <v>3</v>
      </c>
      <c r="U327" s="4">
        <v>0.59</v>
      </c>
      <c r="V327" s="4">
        <v>0.56999999999999995</v>
      </c>
      <c r="W327" s="4">
        <v>0.57999999999999996</v>
      </c>
      <c r="X327" s="4">
        <v>0.72</v>
      </c>
      <c r="Y327" s="4">
        <v>0.36</v>
      </c>
      <c r="Z327" s="4">
        <v>0.43</v>
      </c>
      <c r="AA327" s="3">
        <v>35</v>
      </c>
      <c r="AB327" s="3">
        <v>25</v>
      </c>
      <c r="AC327" s="5">
        <v>3.9</v>
      </c>
      <c r="AD327" s="4">
        <v>1</v>
      </c>
      <c r="AE327" s="4">
        <v>0.79</v>
      </c>
      <c r="AF327" s="4">
        <v>0.71</v>
      </c>
      <c r="AG327" s="4">
        <v>0.21</v>
      </c>
      <c r="AH327" s="4">
        <v>0.56000000000000005</v>
      </c>
      <c r="AI327" s="4">
        <v>0.57999999999999996</v>
      </c>
      <c r="AJ327" t="s">
        <v>72</v>
      </c>
      <c r="AK327" t="s">
        <v>86</v>
      </c>
      <c r="AL327" t="s">
        <v>61</v>
      </c>
      <c r="AM327" t="s">
        <v>73</v>
      </c>
      <c r="AN327" t="s">
        <v>64</v>
      </c>
      <c r="AO327" t="s">
        <v>74</v>
      </c>
      <c r="AP327" t="s">
        <v>75</v>
      </c>
    </row>
    <row r="328" spans="1:42" x14ac:dyDescent="0.25">
      <c r="A328" t="str">
        <f>HYPERLINK("HTTP://10.0.1.74/krs/582/detail","/krs/582")</f>
        <v>/krs/582</v>
      </c>
      <c r="B328">
        <v>582</v>
      </c>
      <c r="C328" t="s">
        <v>428</v>
      </c>
      <c r="D328" t="s">
        <v>310</v>
      </c>
      <c r="E328" t="s">
        <v>111</v>
      </c>
      <c r="F328" t="s">
        <v>211</v>
      </c>
      <c r="G328" s="1">
        <v>43236</v>
      </c>
      <c r="H328" t="s">
        <v>212</v>
      </c>
      <c r="I328" t="s">
        <v>51</v>
      </c>
      <c r="K328" s="3">
        <v>215</v>
      </c>
      <c r="L328" s="3">
        <v>175</v>
      </c>
      <c r="M328" s="3">
        <v>390</v>
      </c>
      <c r="N328" s="4">
        <v>0.55000000000000004</v>
      </c>
      <c r="O328" s="3">
        <v>13</v>
      </c>
      <c r="P328" s="3"/>
      <c r="Q328" s="3">
        <v>2</v>
      </c>
      <c r="R328" s="3">
        <v>12</v>
      </c>
      <c r="S328" s="5">
        <v>3.2</v>
      </c>
      <c r="T328" s="5">
        <v>2.8</v>
      </c>
      <c r="U328" s="4">
        <v>0.6</v>
      </c>
      <c r="V328" s="4">
        <v>0.55000000000000004</v>
      </c>
      <c r="W328" s="4">
        <v>0.67</v>
      </c>
      <c r="X328" s="4">
        <v>0.71</v>
      </c>
      <c r="Y328" s="4">
        <v>0.17</v>
      </c>
      <c r="Z328" s="4">
        <v>0.45</v>
      </c>
      <c r="AA328" s="3">
        <v>7</v>
      </c>
      <c r="AB328" s="3">
        <v>3</v>
      </c>
      <c r="AC328" s="5">
        <v>3.9</v>
      </c>
      <c r="AD328" s="4">
        <v>1</v>
      </c>
      <c r="AE328" s="4">
        <v>0.78</v>
      </c>
      <c r="AF328" s="4">
        <v>0.43</v>
      </c>
      <c r="AG328" s="4">
        <v>0.22</v>
      </c>
      <c r="AH328" s="4">
        <v>0.57999999999999996</v>
      </c>
      <c r="AI328" s="4">
        <v>0.56000000000000005</v>
      </c>
      <c r="AJ328" t="s">
        <v>72</v>
      </c>
      <c r="AK328" t="s">
        <v>86</v>
      </c>
      <c r="AL328" t="s">
        <v>61</v>
      </c>
      <c r="AM328" t="s">
        <v>73</v>
      </c>
      <c r="AN328" t="s">
        <v>64</v>
      </c>
      <c r="AO328" t="s">
        <v>74</v>
      </c>
      <c r="AP328" t="s">
        <v>75</v>
      </c>
    </row>
    <row r="329" spans="1:42" x14ac:dyDescent="0.25">
      <c r="A329" t="str">
        <f>HYPERLINK("HTTP://10.0.1.74/krs/583/detail","/krs/583")</f>
        <v>/krs/583</v>
      </c>
      <c r="B329">
        <v>583</v>
      </c>
      <c r="C329" t="s">
        <v>429</v>
      </c>
      <c r="D329" t="s">
        <v>310</v>
      </c>
      <c r="E329" t="s">
        <v>111</v>
      </c>
      <c r="F329" t="s">
        <v>95</v>
      </c>
      <c r="G329" s="1">
        <v>43238</v>
      </c>
      <c r="H329" t="s">
        <v>272</v>
      </c>
      <c r="I329" t="s">
        <v>51</v>
      </c>
      <c r="J329" t="s">
        <v>430</v>
      </c>
      <c r="K329" s="3">
        <v>1621</v>
      </c>
      <c r="L329" s="3">
        <v>1139</v>
      </c>
      <c r="M329" s="3">
        <v>2760</v>
      </c>
      <c r="N329" s="4">
        <v>0.59</v>
      </c>
      <c r="O329" s="3">
        <v>115</v>
      </c>
      <c r="P329" s="3"/>
      <c r="Q329" s="3">
        <v>43</v>
      </c>
      <c r="R329" s="3">
        <v>115</v>
      </c>
      <c r="S329" s="5">
        <v>3.2</v>
      </c>
      <c r="T329" s="5">
        <v>3.2</v>
      </c>
      <c r="U329" s="4">
        <v>0.64</v>
      </c>
      <c r="V329" s="4">
        <v>0.59</v>
      </c>
      <c r="W329" s="4">
        <v>0.8</v>
      </c>
      <c r="X329" s="4">
        <v>0.76</v>
      </c>
      <c r="Y329" s="4">
        <v>0.37</v>
      </c>
      <c r="Z329" s="4">
        <v>0.41</v>
      </c>
      <c r="AA329" s="3">
        <v>84</v>
      </c>
      <c r="AB329" s="3">
        <v>51</v>
      </c>
      <c r="AC329" s="5">
        <v>3.9</v>
      </c>
      <c r="AD329" s="4">
        <v>1</v>
      </c>
      <c r="AE329" s="4">
        <v>0.78</v>
      </c>
      <c r="AF329" s="4">
        <v>0.61</v>
      </c>
      <c r="AG329" s="4">
        <v>0.22</v>
      </c>
      <c r="AH329" s="4">
        <v>0.61</v>
      </c>
      <c r="AI329" s="4">
        <v>0.56999999999999995</v>
      </c>
      <c r="AJ329" t="s">
        <v>72</v>
      </c>
      <c r="AK329" t="s">
        <v>86</v>
      </c>
      <c r="AL329" t="s">
        <v>62</v>
      </c>
      <c r="AM329" t="s">
        <v>73</v>
      </c>
      <c r="AN329" t="s">
        <v>64</v>
      </c>
      <c r="AO329" t="s">
        <v>74</v>
      </c>
      <c r="AP329" t="s">
        <v>75</v>
      </c>
    </row>
    <row r="330" spans="1:42" x14ac:dyDescent="0.25">
      <c r="A330" t="str">
        <f>HYPERLINK("HTTP://10.0.1.74/krs/584/detail","/krs/584")</f>
        <v>/krs/584</v>
      </c>
      <c r="B330">
        <v>584</v>
      </c>
      <c r="C330" t="s">
        <v>309</v>
      </c>
      <c r="D330" t="s">
        <v>310</v>
      </c>
      <c r="E330" t="s">
        <v>141</v>
      </c>
      <c r="F330" t="s">
        <v>95</v>
      </c>
      <c r="G330" s="1">
        <v>43236</v>
      </c>
      <c r="H330" t="s">
        <v>272</v>
      </c>
      <c r="I330" t="s">
        <v>57</v>
      </c>
      <c r="J330" t="s">
        <v>431</v>
      </c>
      <c r="K330" s="3">
        <v>1837</v>
      </c>
      <c r="L330" s="3">
        <v>693</v>
      </c>
      <c r="M330" s="3">
        <v>2530</v>
      </c>
      <c r="N330" s="4">
        <v>0.73</v>
      </c>
      <c r="O330" s="3">
        <v>115</v>
      </c>
      <c r="P330" s="3"/>
      <c r="Q330" s="3">
        <v>73</v>
      </c>
      <c r="R330" s="3">
        <v>115</v>
      </c>
      <c r="S330" s="5">
        <v>3.7</v>
      </c>
      <c r="T330" s="5">
        <v>3.7</v>
      </c>
      <c r="U330" s="4">
        <v>0.74</v>
      </c>
      <c r="V330" s="4">
        <v>0.73</v>
      </c>
      <c r="W330" s="4">
        <v>0.94</v>
      </c>
      <c r="X330" s="4">
        <v>0.88</v>
      </c>
      <c r="Y330" s="4">
        <v>0.63</v>
      </c>
      <c r="Z330" s="4">
        <v>0.27</v>
      </c>
      <c r="AA330" s="3">
        <v>84</v>
      </c>
      <c r="AB330" s="3">
        <v>61</v>
      </c>
      <c r="AC330" s="5">
        <v>4.0999999999999996</v>
      </c>
      <c r="AD330" s="4">
        <v>1</v>
      </c>
      <c r="AE330" s="4">
        <v>0.83</v>
      </c>
      <c r="AF330" s="4">
        <v>0.73</v>
      </c>
      <c r="AG330" s="4">
        <v>0.17</v>
      </c>
      <c r="AH330" s="4">
        <v>0.77</v>
      </c>
      <c r="AI330" s="4">
        <v>0.67</v>
      </c>
      <c r="AJ330" t="s">
        <v>72</v>
      </c>
      <c r="AK330" t="s">
        <v>62</v>
      </c>
      <c r="AL330" t="s">
        <v>62</v>
      </c>
      <c r="AM330" t="s">
        <v>104</v>
      </c>
      <c r="AN330" t="s">
        <v>64</v>
      </c>
      <c r="AO330" t="s">
        <v>74</v>
      </c>
      <c r="AP330" t="s">
        <v>75</v>
      </c>
    </row>
    <row r="331" spans="1:42" x14ac:dyDescent="0.25">
      <c r="A331" t="str">
        <f>HYPERLINK("HTTP://10.0.1.74/krs/585/detail","/krs/585")</f>
        <v>/krs/585</v>
      </c>
      <c r="B331">
        <v>585</v>
      </c>
      <c r="C331" t="s">
        <v>101</v>
      </c>
      <c r="D331" t="s">
        <v>310</v>
      </c>
      <c r="E331" t="s">
        <v>98</v>
      </c>
      <c r="F331" t="s">
        <v>211</v>
      </c>
      <c r="G331" s="1">
        <v>43235</v>
      </c>
      <c r="H331" t="s">
        <v>174</v>
      </c>
      <c r="I331" t="s">
        <v>51</v>
      </c>
      <c r="K331" s="3">
        <v>569</v>
      </c>
      <c r="L331" s="3">
        <v>289</v>
      </c>
      <c r="M331" s="3">
        <v>858</v>
      </c>
      <c r="N331" s="4">
        <v>0.66</v>
      </c>
      <c r="O331" s="3">
        <v>13</v>
      </c>
      <c r="P331" s="3"/>
      <c r="Q331" s="3">
        <v>7</v>
      </c>
      <c r="R331" s="3">
        <v>13</v>
      </c>
      <c r="S331" s="5">
        <v>3.5</v>
      </c>
      <c r="T331" s="5">
        <v>3.5</v>
      </c>
      <c r="U331" s="4">
        <v>0.69</v>
      </c>
      <c r="V331" s="4">
        <v>0.66</v>
      </c>
      <c r="W331" s="4">
        <v>0.85</v>
      </c>
      <c r="X331" s="4">
        <v>0.77</v>
      </c>
      <c r="Y331" s="4">
        <v>0.54</v>
      </c>
      <c r="Z331" s="4">
        <v>0.34</v>
      </c>
      <c r="AA331" s="3">
        <v>7</v>
      </c>
      <c r="AB331" s="3">
        <v>6</v>
      </c>
      <c r="AC331" s="5">
        <v>4.3</v>
      </c>
      <c r="AD331" s="4">
        <v>1</v>
      </c>
      <c r="AE331" s="4">
        <v>0.86</v>
      </c>
      <c r="AF331" s="4">
        <v>0.86</v>
      </c>
      <c r="AG331" s="4">
        <v>0.14000000000000001</v>
      </c>
      <c r="AH331" s="4">
        <v>0.64</v>
      </c>
      <c r="AI331" s="4">
        <v>0.61</v>
      </c>
      <c r="AJ331" t="s">
        <v>72</v>
      </c>
      <c r="AK331" t="s">
        <v>61</v>
      </c>
      <c r="AL331" t="s">
        <v>62</v>
      </c>
      <c r="AM331" t="s">
        <v>73</v>
      </c>
      <c r="AN331" t="s">
        <v>64</v>
      </c>
      <c r="AO331" t="s">
        <v>74</v>
      </c>
      <c r="AP331" t="s">
        <v>75</v>
      </c>
    </row>
    <row r="332" spans="1:42" x14ac:dyDescent="0.25">
      <c r="A332" t="str">
        <f>HYPERLINK("HTTP://10.0.1.74/krs/586/detail","/krs/586")</f>
        <v>/krs/586</v>
      </c>
      <c r="B332">
        <v>586</v>
      </c>
      <c r="C332" t="s">
        <v>432</v>
      </c>
      <c r="D332" t="s">
        <v>310</v>
      </c>
      <c r="E332" t="s">
        <v>111</v>
      </c>
      <c r="F332" t="s">
        <v>335</v>
      </c>
      <c r="G332" s="1">
        <v>43222.758298611108</v>
      </c>
      <c r="H332" t="s">
        <v>142</v>
      </c>
      <c r="I332" t="s">
        <v>57</v>
      </c>
      <c r="K332" s="3">
        <v>1428</v>
      </c>
      <c r="L332" s="3">
        <v>732</v>
      </c>
      <c r="M332" s="3">
        <v>2160</v>
      </c>
      <c r="N332" s="4">
        <v>0.66</v>
      </c>
      <c r="O332" s="3">
        <v>106</v>
      </c>
      <c r="P332" s="3"/>
      <c r="Q332" s="3">
        <v>44</v>
      </c>
      <c r="R332" s="3">
        <v>106</v>
      </c>
      <c r="S332" s="5">
        <v>3.5</v>
      </c>
      <c r="T332" s="5">
        <v>3.5</v>
      </c>
      <c r="U332" s="4">
        <v>0.7</v>
      </c>
      <c r="V332" s="4">
        <v>0.66</v>
      </c>
      <c r="W332" s="4">
        <v>1</v>
      </c>
      <c r="X332" s="4">
        <v>0.81</v>
      </c>
      <c r="Y332" s="4">
        <v>0.42</v>
      </c>
      <c r="Z332" s="4">
        <v>0.34</v>
      </c>
      <c r="AA332" s="3">
        <v>99</v>
      </c>
      <c r="AB332" s="3">
        <v>68</v>
      </c>
      <c r="AC332" s="5">
        <v>4</v>
      </c>
      <c r="AD332" s="4">
        <v>0.99</v>
      </c>
      <c r="AE332" s="4">
        <v>0.81</v>
      </c>
      <c r="AF332" s="4">
        <v>0.69</v>
      </c>
      <c r="AG332" s="4">
        <v>0.19</v>
      </c>
      <c r="AH332" s="4">
        <v>0.86</v>
      </c>
      <c r="AI332" s="4">
        <v>0.56999999999999995</v>
      </c>
      <c r="AJ332" t="s">
        <v>72</v>
      </c>
      <c r="AK332" t="s">
        <v>61</v>
      </c>
      <c r="AL332" t="s">
        <v>62</v>
      </c>
      <c r="AM332" t="s">
        <v>73</v>
      </c>
      <c r="AN332" t="s">
        <v>64</v>
      </c>
      <c r="AO332" t="s">
        <v>74</v>
      </c>
      <c r="AP332" t="s">
        <v>75</v>
      </c>
    </row>
    <row r="333" spans="1:42" x14ac:dyDescent="0.25">
      <c r="A333" t="str">
        <f>HYPERLINK("HTTP://10.0.1.74/krs/587/detail","/krs/587")</f>
        <v>/krs/587</v>
      </c>
      <c r="B333">
        <v>587</v>
      </c>
      <c r="C333" t="s">
        <v>101</v>
      </c>
      <c r="D333" t="s">
        <v>310</v>
      </c>
      <c r="E333" t="s">
        <v>98</v>
      </c>
      <c r="F333" t="s">
        <v>112</v>
      </c>
      <c r="G333" s="1">
        <v>43227</v>
      </c>
      <c r="H333" t="s">
        <v>174</v>
      </c>
      <c r="I333" t="s">
        <v>51</v>
      </c>
      <c r="K333" s="3">
        <v>652</v>
      </c>
      <c r="L333" s="3">
        <v>272</v>
      </c>
      <c r="M333" s="3">
        <v>924</v>
      </c>
      <c r="N333" s="4">
        <v>0.71</v>
      </c>
      <c r="O333" s="3">
        <v>14</v>
      </c>
      <c r="P333" s="3"/>
      <c r="Q333" s="3">
        <v>10</v>
      </c>
      <c r="R333" s="3">
        <v>14</v>
      </c>
      <c r="S333" s="5">
        <v>3.8</v>
      </c>
      <c r="T333" s="5">
        <v>3.8</v>
      </c>
      <c r="U333" s="4">
        <v>0.76</v>
      </c>
      <c r="V333" s="4">
        <v>0.71</v>
      </c>
      <c r="W333" s="4">
        <v>0.86</v>
      </c>
      <c r="X333" s="4">
        <v>0.82</v>
      </c>
      <c r="Y333" s="4">
        <v>0.71</v>
      </c>
      <c r="Z333" s="4">
        <v>0.28999999999999998</v>
      </c>
      <c r="AA333" s="3">
        <v>14</v>
      </c>
      <c r="AB333" s="3">
        <v>12</v>
      </c>
      <c r="AC333" s="5">
        <v>4.4000000000000004</v>
      </c>
      <c r="AD333" s="4">
        <v>1</v>
      </c>
      <c r="AE333" s="4">
        <v>0.87</v>
      </c>
      <c r="AF333" s="4">
        <v>0.86</v>
      </c>
      <c r="AG333" s="4">
        <v>0.13</v>
      </c>
      <c r="AH333" s="4">
        <v>0.61</v>
      </c>
      <c r="AI333" s="4">
        <v>0.69</v>
      </c>
      <c r="AJ333" t="s">
        <v>72</v>
      </c>
      <c r="AK333" t="s">
        <v>62</v>
      </c>
      <c r="AL333" t="s">
        <v>62</v>
      </c>
      <c r="AM333" t="s">
        <v>73</v>
      </c>
      <c r="AN333" t="s">
        <v>64</v>
      </c>
      <c r="AO333" t="s">
        <v>74</v>
      </c>
      <c r="AP333" t="s">
        <v>75</v>
      </c>
    </row>
    <row r="334" spans="1:42" x14ac:dyDescent="0.25">
      <c r="A334" t="str">
        <f>HYPERLINK("HTTP://10.0.1.74/krs/590/detail","/krs/590")</f>
        <v>/krs/590</v>
      </c>
      <c r="B334">
        <v>590</v>
      </c>
      <c r="C334" t="s">
        <v>433</v>
      </c>
      <c r="D334" t="s">
        <v>310</v>
      </c>
      <c r="E334" t="s">
        <v>141</v>
      </c>
      <c r="F334" t="s">
        <v>270</v>
      </c>
      <c r="G334" s="1">
        <v>43222.814942129633</v>
      </c>
      <c r="H334" t="s">
        <v>142</v>
      </c>
      <c r="I334" t="s">
        <v>57</v>
      </c>
      <c r="K334" s="3">
        <v>2031</v>
      </c>
      <c r="L334" s="3">
        <v>873</v>
      </c>
      <c r="M334" s="3">
        <v>2904</v>
      </c>
      <c r="N334" s="4">
        <v>0.7</v>
      </c>
      <c r="O334" s="3">
        <v>62</v>
      </c>
      <c r="P334" s="3"/>
      <c r="Q334" s="3">
        <v>49</v>
      </c>
      <c r="R334" s="3">
        <v>62</v>
      </c>
      <c r="S334" s="5">
        <v>3.9</v>
      </c>
      <c r="T334" s="5">
        <v>3.8</v>
      </c>
      <c r="U334" s="4">
        <v>0.77</v>
      </c>
      <c r="V334" s="4">
        <v>0.7</v>
      </c>
      <c r="W334" s="4">
        <v>0.98</v>
      </c>
      <c r="X334" s="4">
        <v>0.82</v>
      </c>
      <c r="Y334" s="4">
        <v>0.79</v>
      </c>
      <c r="Z334" s="4">
        <v>0.3</v>
      </c>
      <c r="AA334" s="3">
        <v>65</v>
      </c>
      <c r="AB334" s="3">
        <v>64</v>
      </c>
      <c r="AC334" s="5">
        <v>4.3</v>
      </c>
      <c r="AD334" s="4">
        <v>1</v>
      </c>
      <c r="AE334" s="4">
        <v>0.85</v>
      </c>
      <c r="AF334" s="4">
        <v>0.98</v>
      </c>
      <c r="AG334" s="4">
        <v>0.15</v>
      </c>
      <c r="AH334" s="4">
        <v>0.72</v>
      </c>
      <c r="AI334" s="4">
        <v>0.71</v>
      </c>
      <c r="AJ334" t="s">
        <v>72</v>
      </c>
      <c r="AK334" t="s">
        <v>62</v>
      </c>
      <c r="AL334" t="s">
        <v>62</v>
      </c>
      <c r="AM334" t="s">
        <v>73</v>
      </c>
      <c r="AN334" t="s">
        <v>64</v>
      </c>
      <c r="AO334" t="s">
        <v>74</v>
      </c>
      <c r="AP334" t="s">
        <v>75</v>
      </c>
    </row>
    <row r="335" spans="1:42" x14ac:dyDescent="0.25">
      <c r="A335" t="str">
        <f>HYPERLINK("HTTP://10.0.1.74/krs/591/detail","/krs/591")</f>
        <v>/krs/591</v>
      </c>
      <c r="B335">
        <v>591</v>
      </c>
      <c r="C335" t="s">
        <v>434</v>
      </c>
      <c r="D335" t="s">
        <v>435</v>
      </c>
      <c r="E335" t="s">
        <v>48</v>
      </c>
      <c r="F335" t="s">
        <v>436</v>
      </c>
      <c r="G335" s="1">
        <v>43216</v>
      </c>
      <c r="H335" t="s">
        <v>50</v>
      </c>
      <c r="I335" t="s">
        <v>51</v>
      </c>
      <c r="J335" t="s">
        <v>437</v>
      </c>
      <c r="K335" s="3">
        <v>116</v>
      </c>
      <c r="L335" s="3">
        <v>1580</v>
      </c>
      <c r="M335" s="3">
        <v>1696</v>
      </c>
      <c r="N335" s="4">
        <v>7.0000000000000007E-2</v>
      </c>
      <c r="O335" s="3">
        <v>53</v>
      </c>
      <c r="P335" s="3"/>
      <c r="Q335" s="3">
        <v>0</v>
      </c>
      <c r="R335" s="3">
        <v>26</v>
      </c>
      <c r="S335" s="5">
        <v>1.6</v>
      </c>
      <c r="T335" s="5">
        <v>1</v>
      </c>
      <c r="U335" s="4">
        <v>0.41</v>
      </c>
      <c r="V335" s="4">
        <v>7.0000000000000007E-2</v>
      </c>
      <c r="W335" s="4">
        <v>-1.04</v>
      </c>
      <c r="X335" s="4">
        <v>0</v>
      </c>
      <c r="Y335" s="4">
        <v>0</v>
      </c>
      <c r="Z335" s="4">
        <v>0.93</v>
      </c>
      <c r="AA335" s="3">
        <v>0</v>
      </c>
      <c r="AB335" s="3">
        <v>0</v>
      </c>
      <c r="AC335" s="5">
        <v>0</v>
      </c>
      <c r="AD335" s="4">
        <v>0</v>
      </c>
      <c r="AE335" s="4">
        <v>0</v>
      </c>
      <c r="AF335" s="4">
        <v>0</v>
      </c>
      <c r="AG335" s="4">
        <v>1</v>
      </c>
      <c r="AH335" s="4">
        <v>0.06</v>
      </c>
      <c r="AI335" s="4">
        <v>0</v>
      </c>
      <c r="AJ335" t="s">
        <v>60</v>
      </c>
      <c r="AK335" t="s">
        <v>86</v>
      </c>
      <c r="AL335" t="s">
        <v>86</v>
      </c>
      <c r="AM335" t="s">
        <v>63</v>
      </c>
      <c r="AN335" t="s">
        <v>97</v>
      </c>
      <c r="AO335" t="s">
        <v>79</v>
      </c>
      <c r="AP335" t="s">
        <v>75</v>
      </c>
    </row>
    <row r="336" spans="1:42" x14ac:dyDescent="0.25">
      <c r="A336" t="str">
        <f>HYPERLINK("HTTP://10.0.1.74/krs/592/detail","/krs/592")</f>
        <v>/krs/592</v>
      </c>
      <c r="B336">
        <v>592</v>
      </c>
      <c r="C336" t="s">
        <v>438</v>
      </c>
      <c r="D336" t="s">
        <v>310</v>
      </c>
      <c r="E336" t="s">
        <v>111</v>
      </c>
      <c r="F336" t="s">
        <v>112</v>
      </c>
      <c r="G336" s="1">
        <v>43222.839467592596</v>
      </c>
      <c r="H336" t="s">
        <v>142</v>
      </c>
      <c r="I336" t="s">
        <v>57</v>
      </c>
      <c r="K336" s="3">
        <v>169</v>
      </c>
      <c r="L336" s="3">
        <v>51</v>
      </c>
      <c r="M336" s="3">
        <v>220</v>
      </c>
      <c r="N336" s="4">
        <v>0.77</v>
      </c>
      <c r="O336" s="3">
        <v>11</v>
      </c>
      <c r="P336" s="3"/>
      <c r="Q336" s="3">
        <v>11</v>
      </c>
      <c r="R336" s="3">
        <v>11</v>
      </c>
      <c r="S336" s="5">
        <v>4</v>
      </c>
      <c r="T336" s="5">
        <v>4</v>
      </c>
      <c r="U336" s="4">
        <v>0.8</v>
      </c>
      <c r="V336" s="4">
        <v>0.77</v>
      </c>
      <c r="W336" s="4">
        <v>1</v>
      </c>
      <c r="X336" s="4">
        <v>0.93</v>
      </c>
      <c r="Y336" s="4">
        <v>1</v>
      </c>
      <c r="Z336" s="4">
        <v>0.23</v>
      </c>
      <c r="AA336" s="3">
        <v>11</v>
      </c>
      <c r="AB336" s="3">
        <v>10</v>
      </c>
      <c r="AC336" s="5">
        <v>4.0999999999999996</v>
      </c>
      <c r="AD336" s="4">
        <v>1</v>
      </c>
      <c r="AE336" s="4">
        <v>0.83</v>
      </c>
      <c r="AF336" s="4">
        <v>0.91</v>
      </c>
      <c r="AG336" s="4">
        <v>0.17</v>
      </c>
      <c r="AH336" s="4">
        <v>0.79</v>
      </c>
      <c r="AI336" s="4">
        <v>0.68</v>
      </c>
      <c r="AJ336" t="s">
        <v>72</v>
      </c>
      <c r="AK336" t="s">
        <v>62</v>
      </c>
      <c r="AL336" t="s">
        <v>62</v>
      </c>
      <c r="AM336" t="s">
        <v>104</v>
      </c>
      <c r="AN336" t="s">
        <v>97</v>
      </c>
      <c r="AO336" t="s">
        <v>65</v>
      </c>
      <c r="AP336" t="s">
        <v>66</v>
      </c>
    </row>
    <row r="337" spans="1:42" x14ac:dyDescent="0.25">
      <c r="A337" t="str">
        <f>HYPERLINK("HTTP://10.0.1.74/krs/598/detail","/krs/598")</f>
        <v>/krs/598</v>
      </c>
      <c r="B337">
        <v>598</v>
      </c>
      <c r="C337" t="s">
        <v>439</v>
      </c>
      <c r="D337" t="s">
        <v>310</v>
      </c>
      <c r="E337" t="s">
        <v>98</v>
      </c>
      <c r="F337" t="s">
        <v>102</v>
      </c>
      <c r="G337" s="1">
        <v>43223.024884259263</v>
      </c>
      <c r="H337" t="s">
        <v>299</v>
      </c>
      <c r="I337" t="s">
        <v>57</v>
      </c>
      <c r="K337" s="3">
        <v>180</v>
      </c>
      <c r="L337" s="3">
        <v>90</v>
      </c>
      <c r="M337" s="3">
        <v>270</v>
      </c>
      <c r="N337" s="4">
        <v>0.67</v>
      </c>
      <c r="O337" s="3">
        <v>10</v>
      </c>
      <c r="P337" s="3"/>
      <c r="Q337" s="3">
        <v>5</v>
      </c>
      <c r="R337" s="3">
        <v>10</v>
      </c>
      <c r="S337" s="5">
        <v>3.4</v>
      </c>
      <c r="T337" s="5">
        <v>3.4</v>
      </c>
      <c r="U337" s="4">
        <v>0.68</v>
      </c>
      <c r="V337" s="4">
        <v>0.67</v>
      </c>
      <c r="W337" s="4">
        <v>0.9</v>
      </c>
      <c r="X337" s="4">
        <v>0.84</v>
      </c>
      <c r="Y337" s="4">
        <v>0.5</v>
      </c>
      <c r="Z337" s="4">
        <v>0.33</v>
      </c>
      <c r="AA337" s="3">
        <v>10</v>
      </c>
      <c r="AB337" s="3">
        <v>6</v>
      </c>
      <c r="AC337" s="5">
        <v>4</v>
      </c>
      <c r="AD337" s="4">
        <v>1</v>
      </c>
      <c r="AE337" s="4">
        <v>0.8</v>
      </c>
      <c r="AF337" s="4">
        <v>0.6</v>
      </c>
      <c r="AG337" s="4">
        <v>0.2</v>
      </c>
      <c r="AH337" s="4">
        <v>0.83</v>
      </c>
      <c r="AI337" s="4">
        <v>0.28000000000000003</v>
      </c>
      <c r="AJ337" t="s">
        <v>72</v>
      </c>
      <c r="AK337" t="s">
        <v>61</v>
      </c>
      <c r="AL337" t="s">
        <v>62</v>
      </c>
      <c r="AM337" t="s">
        <v>73</v>
      </c>
      <c r="AN337" t="s">
        <v>64</v>
      </c>
      <c r="AO337" t="s">
        <v>74</v>
      </c>
      <c r="AP337" t="s">
        <v>75</v>
      </c>
    </row>
    <row r="338" spans="1:42" x14ac:dyDescent="0.25">
      <c r="A338" t="str">
        <f>HYPERLINK("HTTP://10.0.1.74/krs/601/detail","/krs/601")</f>
        <v>/krs/601</v>
      </c>
      <c r="B338">
        <v>601</v>
      </c>
      <c r="C338" t="s">
        <v>404</v>
      </c>
      <c r="D338" t="s">
        <v>310</v>
      </c>
      <c r="E338" t="s">
        <v>405</v>
      </c>
      <c r="F338" t="s">
        <v>206</v>
      </c>
      <c r="G338" s="1">
        <v>43223.485439814816</v>
      </c>
      <c r="H338" t="s">
        <v>440</v>
      </c>
      <c r="I338" t="s">
        <v>51</v>
      </c>
      <c r="K338" s="3">
        <v>1973</v>
      </c>
      <c r="L338" s="3">
        <v>1043</v>
      </c>
      <c r="M338" s="3">
        <v>3016</v>
      </c>
      <c r="N338" s="4">
        <v>0.65</v>
      </c>
      <c r="O338" s="3">
        <v>116</v>
      </c>
      <c r="P338" s="3"/>
      <c r="Q338" s="3">
        <v>36</v>
      </c>
      <c r="R338" s="3">
        <v>116</v>
      </c>
      <c r="S338" s="5">
        <v>3.3</v>
      </c>
      <c r="T338" s="5">
        <v>3.3</v>
      </c>
      <c r="U338" s="4">
        <v>0.65</v>
      </c>
      <c r="V338" s="4">
        <v>0.65</v>
      </c>
      <c r="W338" s="4">
        <v>0.91</v>
      </c>
      <c r="X338" s="4">
        <v>0</v>
      </c>
      <c r="Y338" s="4">
        <v>0.31</v>
      </c>
      <c r="Z338" s="4">
        <v>0.35</v>
      </c>
      <c r="AA338" s="3">
        <v>0</v>
      </c>
      <c r="AB338" s="3">
        <v>0</v>
      </c>
      <c r="AC338" s="5">
        <v>0</v>
      </c>
      <c r="AD338" s="4">
        <v>0</v>
      </c>
      <c r="AE338" s="4">
        <v>0</v>
      </c>
      <c r="AF338" s="4">
        <v>0</v>
      </c>
      <c r="AG338" s="4">
        <v>1</v>
      </c>
      <c r="AH338" s="4">
        <v>0.6</v>
      </c>
      <c r="AI338" s="4">
        <v>0</v>
      </c>
      <c r="AJ338" t="s">
        <v>72</v>
      </c>
      <c r="AK338" t="s">
        <v>61</v>
      </c>
      <c r="AL338" t="s">
        <v>62</v>
      </c>
      <c r="AM338" t="s">
        <v>63</v>
      </c>
      <c r="AN338" t="s">
        <v>64</v>
      </c>
      <c r="AO338" t="s">
        <v>79</v>
      </c>
      <c r="AP338" t="s">
        <v>75</v>
      </c>
    </row>
    <row r="339" spans="1:42" x14ac:dyDescent="0.25">
      <c r="A339" t="str">
        <f>HYPERLINK("HTTP://10.0.1.74/krs/602/detail","/krs/602")</f>
        <v>/krs/602</v>
      </c>
      <c r="B339">
        <v>602</v>
      </c>
      <c r="C339" t="s">
        <v>441</v>
      </c>
      <c r="D339" t="s">
        <v>310</v>
      </c>
      <c r="E339" t="s">
        <v>98</v>
      </c>
      <c r="F339" t="s">
        <v>442</v>
      </c>
      <c r="G339" s="1">
        <v>43224.330659722225</v>
      </c>
      <c r="H339" t="s">
        <v>403</v>
      </c>
      <c r="I339" t="s">
        <v>51</v>
      </c>
      <c r="J339" t="s">
        <v>443</v>
      </c>
      <c r="K339" s="3">
        <v>450</v>
      </c>
      <c r="L339" s="3">
        <v>144</v>
      </c>
      <c r="M339" s="3">
        <v>594</v>
      </c>
      <c r="N339" s="4">
        <v>0.76</v>
      </c>
      <c r="O339" s="3">
        <v>22</v>
      </c>
      <c r="P339" s="3"/>
      <c r="Q339" s="3">
        <v>16</v>
      </c>
      <c r="R339" s="3">
        <v>22</v>
      </c>
      <c r="S339" s="5">
        <v>3.8</v>
      </c>
      <c r="T339" s="5">
        <v>3.9</v>
      </c>
      <c r="U339" s="4">
        <v>0.77</v>
      </c>
      <c r="V339" s="4">
        <v>0.76</v>
      </c>
      <c r="W339" s="4">
        <v>1</v>
      </c>
      <c r="X339" s="4">
        <v>0.89</v>
      </c>
      <c r="Y339" s="4">
        <v>0.73</v>
      </c>
      <c r="Z339" s="4">
        <v>0.24</v>
      </c>
      <c r="AA339" s="3">
        <v>20</v>
      </c>
      <c r="AB339" s="3">
        <v>16</v>
      </c>
      <c r="AC339" s="5">
        <v>4.3</v>
      </c>
      <c r="AD339" s="4">
        <v>1</v>
      </c>
      <c r="AE339" s="4">
        <v>0.85</v>
      </c>
      <c r="AF339" s="4">
        <v>0.8</v>
      </c>
      <c r="AG339" s="4">
        <v>0.15</v>
      </c>
      <c r="AH339" s="4">
        <v>0.76</v>
      </c>
      <c r="AI339" s="4">
        <v>0.75</v>
      </c>
      <c r="AJ339" t="s">
        <v>72</v>
      </c>
      <c r="AK339" t="s">
        <v>62</v>
      </c>
      <c r="AL339" t="s">
        <v>62</v>
      </c>
      <c r="AM339" t="s">
        <v>104</v>
      </c>
      <c r="AN339" t="s">
        <v>97</v>
      </c>
      <c r="AO339" t="s">
        <v>65</v>
      </c>
      <c r="AP339" t="s">
        <v>75</v>
      </c>
    </row>
    <row r="340" spans="1:42" x14ac:dyDescent="0.25">
      <c r="A340" t="str">
        <f>HYPERLINK("HTTP://10.0.1.74/krs/603/detail","/krs/603")</f>
        <v>/krs/603</v>
      </c>
      <c r="B340">
        <v>603</v>
      </c>
      <c r="C340" t="s">
        <v>444</v>
      </c>
      <c r="D340" t="s">
        <v>310</v>
      </c>
      <c r="E340" t="s">
        <v>98</v>
      </c>
      <c r="F340" t="s">
        <v>185</v>
      </c>
      <c r="G340" s="1">
        <v>43224.327141203707</v>
      </c>
      <c r="H340" t="s">
        <v>403</v>
      </c>
      <c r="I340" t="s">
        <v>51</v>
      </c>
      <c r="K340" s="3">
        <v>900</v>
      </c>
      <c r="L340" s="3">
        <v>444</v>
      </c>
      <c r="M340" s="3">
        <v>1344</v>
      </c>
      <c r="N340" s="4">
        <v>0.67</v>
      </c>
      <c r="O340" s="3">
        <v>42</v>
      </c>
      <c r="P340" s="3"/>
      <c r="Q340" s="3">
        <v>21</v>
      </c>
      <c r="R340" s="3">
        <v>41</v>
      </c>
      <c r="S340" s="5">
        <v>3.5</v>
      </c>
      <c r="T340" s="5">
        <v>3.4</v>
      </c>
      <c r="U340" s="4">
        <v>0.7</v>
      </c>
      <c r="V340" s="4">
        <v>0.67</v>
      </c>
      <c r="W340" s="4">
        <v>0.9</v>
      </c>
      <c r="X340" s="4">
        <v>0.87</v>
      </c>
      <c r="Y340" s="4">
        <v>0.51</v>
      </c>
      <c r="Z340" s="4">
        <v>0.33</v>
      </c>
      <c r="AA340" s="3">
        <v>40</v>
      </c>
      <c r="AB340" s="3">
        <v>23</v>
      </c>
      <c r="AC340" s="5">
        <v>3.9</v>
      </c>
      <c r="AD340" s="4">
        <v>1</v>
      </c>
      <c r="AE340" s="4">
        <v>0.77</v>
      </c>
      <c r="AF340" s="4">
        <v>0.56999999999999995</v>
      </c>
      <c r="AG340" s="4">
        <v>0.23</v>
      </c>
      <c r="AH340" s="4">
        <v>0.67</v>
      </c>
      <c r="AI340" s="4">
        <v>0</v>
      </c>
      <c r="AJ340" t="s">
        <v>72</v>
      </c>
      <c r="AK340" t="s">
        <v>61</v>
      </c>
      <c r="AL340" t="s">
        <v>62</v>
      </c>
      <c r="AM340" t="s">
        <v>104</v>
      </c>
      <c r="AN340" t="s">
        <v>97</v>
      </c>
      <c r="AO340" t="s">
        <v>74</v>
      </c>
      <c r="AP340" t="s">
        <v>75</v>
      </c>
    </row>
    <row r="341" spans="1:42" x14ac:dyDescent="0.25">
      <c r="A341" t="str">
        <f>HYPERLINK("HTTP://10.0.1.74/krs/604/detail","/krs/604")</f>
        <v>/krs/604</v>
      </c>
      <c r="B341">
        <v>604</v>
      </c>
      <c r="C341" t="s">
        <v>83</v>
      </c>
      <c r="D341" t="s">
        <v>310</v>
      </c>
      <c r="E341" t="s">
        <v>111</v>
      </c>
      <c r="F341" t="s">
        <v>336</v>
      </c>
      <c r="G341" s="1">
        <v>43236</v>
      </c>
      <c r="H341" t="s">
        <v>113</v>
      </c>
      <c r="I341" t="s">
        <v>57</v>
      </c>
      <c r="J341" t="s">
        <v>445</v>
      </c>
      <c r="K341" s="3">
        <v>761</v>
      </c>
      <c r="L341" s="3">
        <v>119</v>
      </c>
      <c r="M341" s="3">
        <v>880</v>
      </c>
      <c r="N341" s="4">
        <v>0.86</v>
      </c>
      <c r="O341" s="3">
        <v>44</v>
      </c>
      <c r="P341" s="3"/>
      <c r="Q341" s="3">
        <v>39</v>
      </c>
      <c r="R341" s="3">
        <v>44</v>
      </c>
      <c r="S341" s="5">
        <v>4.5</v>
      </c>
      <c r="T341" s="5">
        <v>4.3</v>
      </c>
      <c r="U341" s="4">
        <v>0.86</v>
      </c>
      <c r="V341" s="4">
        <v>0.86</v>
      </c>
      <c r="W341" s="4">
        <v>0.95</v>
      </c>
      <c r="X341" s="4">
        <v>1.0900000000000001</v>
      </c>
      <c r="Y341" s="4">
        <v>0.89</v>
      </c>
      <c r="Z341" s="4">
        <v>0.14000000000000001</v>
      </c>
      <c r="AA341" s="3">
        <v>24</v>
      </c>
      <c r="AB341" s="3">
        <v>15</v>
      </c>
      <c r="AC341" s="5">
        <v>3.9</v>
      </c>
      <c r="AD341" s="4">
        <v>1</v>
      </c>
      <c r="AE341" s="4">
        <v>0.79</v>
      </c>
      <c r="AF341" s="4">
        <v>0.63</v>
      </c>
      <c r="AG341" s="4">
        <v>0.21</v>
      </c>
      <c r="AH341" s="4">
        <v>0.87</v>
      </c>
      <c r="AI341" s="4">
        <v>0</v>
      </c>
      <c r="AJ341" t="s">
        <v>72</v>
      </c>
      <c r="AK341" t="s">
        <v>62</v>
      </c>
      <c r="AL341" t="s">
        <v>62</v>
      </c>
      <c r="AM341" t="s">
        <v>63</v>
      </c>
      <c r="AN341" t="s">
        <v>64</v>
      </c>
      <c r="AO341" t="s">
        <v>79</v>
      </c>
      <c r="AP341" t="s">
        <v>66</v>
      </c>
    </row>
    <row r="342" spans="1:42" x14ac:dyDescent="0.25">
      <c r="A342" t="str">
        <f>HYPERLINK("HTTP://10.0.1.74/krs/605/detail","/krs/605")</f>
        <v>/krs/605</v>
      </c>
      <c r="B342">
        <v>605</v>
      </c>
      <c r="C342" t="s">
        <v>309</v>
      </c>
      <c r="D342" t="s">
        <v>310</v>
      </c>
      <c r="E342" t="s">
        <v>160</v>
      </c>
      <c r="F342" t="s">
        <v>270</v>
      </c>
      <c r="G342" s="1">
        <v>43224</v>
      </c>
      <c r="H342" t="s">
        <v>56</v>
      </c>
      <c r="I342" t="s">
        <v>57</v>
      </c>
      <c r="K342" s="3">
        <v>1148</v>
      </c>
      <c r="L342" s="3">
        <v>634</v>
      </c>
      <c r="M342" s="3">
        <v>1782</v>
      </c>
      <c r="N342" s="4">
        <v>0.64</v>
      </c>
      <c r="O342" s="3">
        <v>66</v>
      </c>
      <c r="P342" s="3"/>
      <c r="Q342" s="3">
        <v>32</v>
      </c>
      <c r="R342" s="3">
        <v>66</v>
      </c>
      <c r="S342" s="5">
        <v>3.3</v>
      </c>
      <c r="T342" s="5">
        <v>3.3</v>
      </c>
      <c r="U342" s="4">
        <v>0.66</v>
      </c>
      <c r="V342" s="4">
        <v>0.64</v>
      </c>
      <c r="W342" s="4">
        <v>0.76</v>
      </c>
      <c r="X342" s="4">
        <v>0.77</v>
      </c>
      <c r="Y342" s="4">
        <v>0.48</v>
      </c>
      <c r="Z342" s="4">
        <v>0.36</v>
      </c>
      <c r="AA342" s="3">
        <v>65</v>
      </c>
      <c r="AB342" s="3">
        <v>48</v>
      </c>
      <c r="AC342" s="5">
        <v>4.0999999999999996</v>
      </c>
      <c r="AD342" s="4">
        <v>1</v>
      </c>
      <c r="AE342" s="4">
        <v>0.83</v>
      </c>
      <c r="AF342" s="4">
        <v>0.74</v>
      </c>
      <c r="AG342" s="4">
        <v>0.17</v>
      </c>
      <c r="AH342" s="4">
        <v>0.68</v>
      </c>
      <c r="AI342" s="4">
        <v>0.54</v>
      </c>
      <c r="AJ342" t="s">
        <v>72</v>
      </c>
      <c r="AK342" t="s">
        <v>61</v>
      </c>
      <c r="AL342" t="s">
        <v>62</v>
      </c>
      <c r="AM342" t="s">
        <v>73</v>
      </c>
      <c r="AN342" t="s">
        <v>64</v>
      </c>
      <c r="AO342" t="s">
        <v>74</v>
      </c>
      <c r="AP342" t="s">
        <v>75</v>
      </c>
    </row>
    <row r="343" spans="1:42" x14ac:dyDescent="0.25">
      <c r="A343" t="str">
        <f>HYPERLINK("HTTP://10.0.1.74/krs/607/detail","/krs/607")</f>
        <v>/krs/607</v>
      </c>
      <c r="B343">
        <v>607</v>
      </c>
      <c r="C343" t="s">
        <v>446</v>
      </c>
      <c r="D343" t="s">
        <v>435</v>
      </c>
      <c r="E343" t="s">
        <v>48</v>
      </c>
      <c r="F343" t="s">
        <v>447</v>
      </c>
      <c r="G343" s="1">
        <v>43215</v>
      </c>
      <c r="H343" t="s">
        <v>50</v>
      </c>
      <c r="I343" t="s">
        <v>51</v>
      </c>
      <c r="J343" t="s">
        <v>448</v>
      </c>
      <c r="K343" s="3">
        <v>1352</v>
      </c>
      <c r="L343" s="3">
        <v>892</v>
      </c>
      <c r="M343" s="3">
        <v>2244</v>
      </c>
      <c r="N343" s="4">
        <v>0.6</v>
      </c>
      <c r="O343" s="3">
        <v>132</v>
      </c>
      <c r="P343" s="3"/>
      <c r="Q343" s="3">
        <v>69</v>
      </c>
      <c r="R343" s="3">
        <v>109</v>
      </c>
      <c r="S343" s="5">
        <v>3.5</v>
      </c>
      <c r="T343" s="5">
        <v>3.2</v>
      </c>
      <c r="U343" s="4">
        <v>0.78</v>
      </c>
      <c r="V343" s="4">
        <v>0.6</v>
      </c>
      <c r="W343" s="4">
        <v>0.76</v>
      </c>
      <c r="X343" s="4">
        <v>0</v>
      </c>
      <c r="Y343" s="4">
        <v>0.63</v>
      </c>
      <c r="Z343" s="4">
        <v>0.4</v>
      </c>
      <c r="AA343" s="3">
        <v>0</v>
      </c>
      <c r="AB343" s="3">
        <v>0</v>
      </c>
      <c r="AC343" s="5">
        <v>0</v>
      </c>
      <c r="AD343" s="4">
        <v>0</v>
      </c>
      <c r="AE343" s="4">
        <v>0</v>
      </c>
      <c r="AF343" s="4">
        <v>0</v>
      </c>
      <c r="AG343" s="4">
        <v>1</v>
      </c>
      <c r="AH343" s="4">
        <v>0.71</v>
      </c>
      <c r="AI343" s="4">
        <v>0.4</v>
      </c>
      <c r="AJ343" t="s">
        <v>60</v>
      </c>
      <c r="AK343" t="s">
        <v>61</v>
      </c>
      <c r="AL343" t="s">
        <v>62</v>
      </c>
      <c r="AM343" t="s">
        <v>63</v>
      </c>
      <c r="AN343" t="s">
        <v>64</v>
      </c>
      <c r="AO343" t="s">
        <v>79</v>
      </c>
      <c r="AP343" t="s">
        <v>75</v>
      </c>
    </row>
    <row r="344" spans="1:42" x14ac:dyDescent="0.25">
      <c r="A344" t="str">
        <f>HYPERLINK("HTTP://10.0.1.74/krs/608/detail","/krs/608")</f>
        <v>/krs/608</v>
      </c>
      <c r="B344">
        <v>608</v>
      </c>
      <c r="C344" t="s">
        <v>404</v>
      </c>
      <c r="D344" t="s">
        <v>310</v>
      </c>
      <c r="E344" t="s">
        <v>405</v>
      </c>
      <c r="F344" t="s">
        <v>284</v>
      </c>
      <c r="G344" s="1">
        <v>43224</v>
      </c>
      <c r="H344" t="s">
        <v>56</v>
      </c>
      <c r="I344" t="s">
        <v>57</v>
      </c>
      <c r="J344" t="s">
        <v>449</v>
      </c>
      <c r="K344" s="3">
        <v>1191</v>
      </c>
      <c r="L344" s="3">
        <v>807</v>
      </c>
      <c r="M344" s="3">
        <v>1998</v>
      </c>
      <c r="N344" s="4">
        <v>0.6</v>
      </c>
      <c r="O344" s="3">
        <v>111</v>
      </c>
      <c r="P344" s="3"/>
      <c r="Q344" s="3">
        <v>44</v>
      </c>
      <c r="R344" s="3">
        <v>111</v>
      </c>
      <c r="S344" s="5">
        <v>3.1</v>
      </c>
      <c r="T344" s="5">
        <v>3.3</v>
      </c>
      <c r="U344" s="4">
        <v>0.66</v>
      </c>
      <c r="V344" s="4">
        <v>0.6</v>
      </c>
      <c r="W344" s="4">
        <v>0.86</v>
      </c>
      <c r="X344" s="4">
        <v>0</v>
      </c>
      <c r="Y344" s="4">
        <v>0.4</v>
      </c>
      <c r="Z344" s="4">
        <v>0.4</v>
      </c>
      <c r="AA344" s="3">
        <v>0</v>
      </c>
      <c r="AB344" s="3">
        <v>0</v>
      </c>
      <c r="AC344" s="5">
        <v>0</v>
      </c>
      <c r="AD344" s="4">
        <v>0</v>
      </c>
      <c r="AE344" s="4">
        <v>0</v>
      </c>
      <c r="AF344" s="4">
        <v>0</v>
      </c>
      <c r="AG344" s="4">
        <v>1</v>
      </c>
      <c r="AH344" s="4">
        <v>0.71</v>
      </c>
      <c r="AI344" s="4">
        <v>0.53</v>
      </c>
      <c r="AJ344" t="s">
        <v>72</v>
      </c>
      <c r="AK344" t="s">
        <v>61</v>
      </c>
      <c r="AL344" t="s">
        <v>62</v>
      </c>
      <c r="AM344" t="s">
        <v>63</v>
      </c>
      <c r="AN344" t="s">
        <v>64</v>
      </c>
      <c r="AO344" t="s">
        <v>79</v>
      </c>
      <c r="AP344" t="s">
        <v>75</v>
      </c>
    </row>
    <row r="345" spans="1:42" x14ac:dyDescent="0.25">
      <c r="A345" t="str">
        <f>HYPERLINK("HTTP://10.0.1.74/krs/609/detail","/krs/609")</f>
        <v>/krs/609</v>
      </c>
      <c r="B345">
        <v>609</v>
      </c>
      <c r="C345" t="s">
        <v>288</v>
      </c>
      <c r="D345" t="s">
        <v>310</v>
      </c>
      <c r="E345" t="s">
        <v>111</v>
      </c>
      <c r="F345" t="s">
        <v>112</v>
      </c>
      <c r="G345" s="1">
        <v>43242</v>
      </c>
      <c r="H345" t="s">
        <v>113</v>
      </c>
      <c r="I345" t="s">
        <v>57</v>
      </c>
      <c r="J345" t="s">
        <v>450</v>
      </c>
      <c r="K345" s="3">
        <v>457</v>
      </c>
      <c r="L345" s="3">
        <v>189</v>
      </c>
      <c r="M345" s="3">
        <v>646</v>
      </c>
      <c r="N345" s="4">
        <v>0.71</v>
      </c>
      <c r="O345" s="3">
        <v>19</v>
      </c>
      <c r="P345" s="3"/>
      <c r="Q345" s="3">
        <v>13</v>
      </c>
      <c r="R345" s="3">
        <v>19</v>
      </c>
      <c r="S345" s="5">
        <v>3.6</v>
      </c>
      <c r="T345" s="5">
        <v>3.6</v>
      </c>
      <c r="U345" s="4">
        <v>0.73</v>
      </c>
      <c r="V345" s="4">
        <v>0.71</v>
      </c>
      <c r="W345" s="4">
        <v>0.95</v>
      </c>
      <c r="X345" s="4">
        <v>0.83</v>
      </c>
      <c r="Y345" s="4">
        <v>0.68</v>
      </c>
      <c r="Z345" s="4">
        <v>0.28999999999999998</v>
      </c>
      <c r="AA345" s="3">
        <v>19</v>
      </c>
      <c r="AB345" s="3">
        <v>19</v>
      </c>
      <c r="AC345" s="5">
        <v>4.3</v>
      </c>
      <c r="AD345" s="4">
        <v>1</v>
      </c>
      <c r="AE345" s="4">
        <v>0.86</v>
      </c>
      <c r="AF345" s="4">
        <v>1</v>
      </c>
      <c r="AG345" s="4">
        <v>0.14000000000000001</v>
      </c>
      <c r="AH345" s="4">
        <v>0.7</v>
      </c>
      <c r="AI345" s="4">
        <v>0.72</v>
      </c>
      <c r="AJ345" t="s">
        <v>72</v>
      </c>
      <c r="AK345" t="s">
        <v>62</v>
      </c>
      <c r="AL345" t="s">
        <v>62</v>
      </c>
      <c r="AM345" t="s">
        <v>73</v>
      </c>
      <c r="AN345" t="s">
        <v>64</v>
      </c>
      <c r="AO345" t="s">
        <v>74</v>
      </c>
      <c r="AP345" t="s">
        <v>75</v>
      </c>
    </row>
    <row r="346" spans="1:42" x14ac:dyDescent="0.25">
      <c r="A346" t="str">
        <f>HYPERLINK("HTTP://10.0.1.74/krs/613/detail","/krs/613")</f>
        <v>/krs/613</v>
      </c>
      <c r="B346">
        <v>613</v>
      </c>
      <c r="C346" t="s">
        <v>451</v>
      </c>
      <c r="D346" t="s">
        <v>310</v>
      </c>
      <c r="E346" t="s">
        <v>111</v>
      </c>
      <c r="F346" t="s">
        <v>206</v>
      </c>
      <c r="G346" s="1">
        <v>43227.519675925927</v>
      </c>
      <c r="H346" t="s">
        <v>229</v>
      </c>
      <c r="I346" t="s">
        <v>51</v>
      </c>
      <c r="K346" s="3">
        <v>1231</v>
      </c>
      <c r="L346" s="3">
        <v>721</v>
      </c>
      <c r="M346" s="3">
        <v>1952</v>
      </c>
      <c r="N346" s="4">
        <v>0.63</v>
      </c>
      <c r="O346" s="3">
        <v>122</v>
      </c>
      <c r="P346" s="3"/>
      <c r="Q346" s="3">
        <v>72</v>
      </c>
      <c r="R346" s="3">
        <v>118</v>
      </c>
      <c r="S346" s="5">
        <v>3.3</v>
      </c>
      <c r="T346" s="5">
        <v>3.5</v>
      </c>
      <c r="U346" s="4">
        <v>0.73</v>
      </c>
      <c r="V346" s="4">
        <v>0.63</v>
      </c>
      <c r="W346" s="4">
        <v>0.81</v>
      </c>
      <c r="X346" s="4">
        <v>0.71</v>
      </c>
      <c r="Y346" s="4">
        <v>0.61</v>
      </c>
      <c r="Z346" s="4">
        <v>0.37</v>
      </c>
      <c r="AA346" s="3">
        <v>116</v>
      </c>
      <c r="AB346" s="3">
        <v>109</v>
      </c>
      <c r="AC346" s="5">
        <v>4.5</v>
      </c>
      <c r="AD346" s="4">
        <v>1</v>
      </c>
      <c r="AE346" s="4">
        <v>0.89</v>
      </c>
      <c r="AF346" s="4">
        <v>0.94</v>
      </c>
      <c r="AG346" s="4">
        <v>0.11</v>
      </c>
      <c r="AH346" s="4">
        <v>0.65</v>
      </c>
      <c r="AI346" s="4">
        <v>0.55000000000000004</v>
      </c>
      <c r="AJ346" t="s">
        <v>60</v>
      </c>
      <c r="AK346" t="s">
        <v>61</v>
      </c>
      <c r="AL346" t="s">
        <v>62</v>
      </c>
      <c r="AM346" t="s">
        <v>73</v>
      </c>
      <c r="AN346" t="s">
        <v>64</v>
      </c>
      <c r="AO346" t="s">
        <v>74</v>
      </c>
      <c r="AP346" t="s">
        <v>75</v>
      </c>
    </row>
    <row r="347" spans="1:42" x14ac:dyDescent="0.25">
      <c r="A347" t="str">
        <f>HYPERLINK("HTTP://10.0.1.74/krs/614/detail","/krs/614")</f>
        <v>/krs/614</v>
      </c>
      <c r="B347">
        <v>614</v>
      </c>
      <c r="C347" t="s">
        <v>452</v>
      </c>
      <c r="D347" t="s">
        <v>310</v>
      </c>
      <c r="E347" t="s">
        <v>141</v>
      </c>
      <c r="F347" t="s">
        <v>335</v>
      </c>
      <c r="G347" s="1">
        <v>43227.529870694445</v>
      </c>
      <c r="H347" t="s">
        <v>229</v>
      </c>
      <c r="I347" t="s">
        <v>51</v>
      </c>
      <c r="K347" s="3"/>
      <c r="L347" s="3"/>
      <c r="M347" s="3"/>
      <c r="N347" s="4"/>
      <c r="O347" s="3"/>
      <c r="P347" s="3"/>
      <c r="Q347" s="3"/>
      <c r="R347" s="3"/>
      <c r="S347" s="5"/>
      <c r="T347" s="5"/>
      <c r="U347" s="4"/>
      <c r="V347" s="4"/>
      <c r="W347" s="4"/>
      <c r="X347" s="4"/>
      <c r="Y347" s="4"/>
      <c r="Z347" s="4"/>
      <c r="AA347" s="3"/>
      <c r="AB347" s="3"/>
      <c r="AC347" s="5"/>
      <c r="AD347" s="4"/>
      <c r="AE347" s="4"/>
      <c r="AF347" s="4"/>
      <c r="AG347" s="4"/>
      <c r="AH347" s="4"/>
      <c r="AI347" s="4"/>
      <c r="AJ347" t="s">
        <v>52</v>
      </c>
      <c r="AK347" t="s">
        <v>52</v>
      </c>
      <c r="AL347" t="s">
        <v>52</v>
      </c>
      <c r="AM347" t="s">
        <v>52</v>
      </c>
      <c r="AN347" t="s">
        <v>52</v>
      </c>
      <c r="AO347" t="s">
        <v>52</v>
      </c>
      <c r="AP347" t="s">
        <v>52</v>
      </c>
    </row>
    <row r="348" spans="1:42" x14ac:dyDescent="0.25">
      <c r="A348" t="str">
        <f>HYPERLINK("HTTP://10.0.1.74/krs/616/detail","/krs/616")</f>
        <v>/krs/616</v>
      </c>
      <c r="B348">
        <v>616</v>
      </c>
      <c r="C348" t="s">
        <v>93</v>
      </c>
      <c r="D348" t="s">
        <v>228</v>
      </c>
      <c r="E348" t="s">
        <v>68</v>
      </c>
      <c r="F348" t="s">
        <v>453</v>
      </c>
      <c r="G348" s="1">
        <v>43210</v>
      </c>
      <c r="H348" t="s">
        <v>454</v>
      </c>
      <c r="I348" t="s">
        <v>51</v>
      </c>
      <c r="J348" t="s">
        <v>448</v>
      </c>
      <c r="K348" s="3">
        <v>447</v>
      </c>
      <c r="L348" s="3">
        <v>93</v>
      </c>
      <c r="M348" s="3">
        <v>540</v>
      </c>
      <c r="N348" s="4">
        <v>0.83</v>
      </c>
      <c r="O348" s="3">
        <v>27</v>
      </c>
      <c r="P348" s="3"/>
      <c r="Q348" s="3">
        <v>24</v>
      </c>
      <c r="R348" s="3">
        <v>27</v>
      </c>
      <c r="S348" s="5">
        <v>4.2</v>
      </c>
      <c r="T348" s="5">
        <v>4</v>
      </c>
      <c r="U348" s="4">
        <v>0.8</v>
      </c>
      <c r="V348" s="4">
        <v>0.83</v>
      </c>
      <c r="W348" s="4">
        <v>1</v>
      </c>
      <c r="X348" s="4">
        <v>0</v>
      </c>
      <c r="Y348" s="4">
        <v>0.89</v>
      </c>
      <c r="Z348" s="4">
        <v>0.17</v>
      </c>
      <c r="AA348" s="3">
        <v>0</v>
      </c>
      <c r="AB348" s="3">
        <v>0</v>
      </c>
      <c r="AC348" s="5">
        <v>0</v>
      </c>
      <c r="AD348" s="4">
        <v>0</v>
      </c>
      <c r="AE348" s="4">
        <v>0</v>
      </c>
      <c r="AF348" s="4">
        <v>0</v>
      </c>
      <c r="AG348" s="4">
        <v>1</v>
      </c>
      <c r="AH348" s="4">
        <v>0.83</v>
      </c>
      <c r="AI348" s="4">
        <v>0</v>
      </c>
      <c r="AJ348" t="s">
        <v>72</v>
      </c>
      <c r="AK348" t="s">
        <v>62</v>
      </c>
      <c r="AL348" t="s">
        <v>62</v>
      </c>
      <c r="AM348" t="s">
        <v>63</v>
      </c>
      <c r="AN348" t="s">
        <v>64</v>
      </c>
      <c r="AO348" t="s">
        <v>79</v>
      </c>
      <c r="AP348" t="s">
        <v>75</v>
      </c>
    </row>
    <row r="349" spans="1:42" x14ac:dyDescent="0.25">
      <c r="A349" t="str">
        <f>HYPERLINK("HTTP://10.0.1.74/krs/617/detail","/krs/617")</f>
        <v>/krs/617</v>
      </c>
      <c r="B349">
        <v>617</v>
      </c>
      <c r="C349" t="s">
        <v>455</v>
      </c>
      <c r="D349" t="s">
        <v>310</v>
      </c>
      <c r="E349" t="s">
        <v>141</v>
      </c>
      <c r="F349" t="s">
        <v>164</v>
      </c>
      <c r="G349" s="1">
        <v>43238</v>
      </c>
      <c r="H349" t="s">
        <v>113</v>
      </c>
      <c r="I349" t="s">
        <v>57</v>
      </c>
      <c r="J349" t="s">
        <v>456</v>
      </c>
      <c r="K349" s="3">
        <v>529</v>
      </c>
      <c r="L349" s="3">
        <v>101</v>
      </c>
      <c r="M349" s="3">
        <v>630</v>
      </c>
      <c r="N349" s="4">
        <v>0.84</v>
      </c>
      <c r="O349" s="3">
        <v>30</v>
      </c>
      <c r="P349" s="3"/>
      <c r="Q349" s="3">
        <v>28</v>
      </c>
      <c r="R349" s="3">
        <v>30</v>
      </c>
      <c r="S349" s="5">
        <v>4.3</v>
      </c>
      <c r="T349" s="5">
        <v>4.2</v>
      </c>
      <c r="U349" s="4">
        <v>0.85</v>
      </c>
      <c r="V349" s="4">
        <v>0.84</v>
      </c>
      <c r="W349" s="4">
        <v>0.97</v>
      </c>
      <c r="X349" s="4">
        <v>1.0900000000000001</v>
      </c>
      <c r="Y349" s="4">
        <v>0.93</v>
      </c>
      <c r="Z349" s="4">
        <v>0.16</v>
      </c>
      <c r="AA349" s="3">
        <v>16</v>
      </c>
      <c r="AB349" s="3">
        <v>7</v>
      </c>
      <c r="AC349" s="5">
        <v>3.8</v>
      </c>
      <c r="AD349" s="4">
        <v>1</v>
      </c>
      <c r="AE349" s="4">
        <v>0.77</v>
      </c>
      <c r="AF349" s="4">
        <v>0.44</v>
      </c>
      <c r="AG349" s="4">
        <v>0.23</v>
      </c>
      <c r="AH349" s="4">
        <v>0.82</v>
      </c>
      <c r="AI349" s="4">
        <v>0.9</v>
      </c>
      <c r="AJ349" t="s">
        <v>72</v>
      </c>
      <c r="AK349" t="s">
        <v>62</v>
      </c>
      <c r="AL349" t="s">
        <v>62</v>
      </c>
      <c r="AM349" t="s">
        <v>63</v>
      </c>
      <c r="AN349" t="s">
        <v>64</v>
      </c>
      <c r="AO349" t="s">
        <v>79</v>
      </c>
      <c r="AP349" t="s">
        <v>66</v>
      </c>
    </row>
    <row r="350" spans="1:42" x14ac:dyDescent="0.25">
      <c r="A350" t="str">
        <f>HYPERLINK("HTTP://10.0.1.74/krs/618/detail","/krs/618")</f>
        <v>/krs/618</v>
      </c>
      <c r="B350">
        <v>618</v>
      </c>
      <c r="C350" t="s">
        <v>457</v>
      </c>
      <c r="D350" t="s">
        <v>228</v>
      </c>
      <c r="E350" t="s">
        <v>68</v>
      </c>
      <c r="F350" t="s">
        <v>458</v>
      </c>
      <c r="G350" s="1">
        <v>43210</v>
      </c>
      <c r="H350" t="s">
        <v>459</v>
      </c>
      <c r="I350" t="s">
        <v>51</v>
      </c>
      <c r="J350" t="s">
        <v>460</v>
      </c>
      <c r="K350" s="3">
        <v>416</v>
      </c>
      <c r="L350" s="3">
        <v>88</v>
      </c>
      <c r="M350" s="3">
        <v>504</v>
      </c>
      <c r="N350" s="4">
        <v>0.83</v>
      </c>
      <c r="O350" s="3">
        <v>24</v>
      </c>
      <c r="P350" s="3"/>
      <c r="Q350" s="3">
        <v>21</v>
      </c>
      <c r="R350" s="3">
        <v>24</v>
      </c>
      <c r="S350" s="5">
        <v>4.2</v>
      </c>
      <c r="T350" s="5">
        <v>3.9</v>
      </c>
      <c r="U350" s="4">
        <v>0.78</v>
      </c>
      <c r="V350" s="4">
        <v>0.83</v>
      </c>
      <c r="W350" s="4">
        <v>1</v>
      </c>
      <c r="X350" s="4">
        <v>0</v>
      </c>
      <c r="Y350" s="4">
        <v>0.88</v>
      </c>
      <c r="Z350" s="4">
        <v>0.17</v>
      </c>
      <c r="AA350" s="3">
        <v>0</v>
      </c>
      <c r="AB350" s="3">
        <v>0</v>
      </c>
      <c r="AC350" s="5">
        <v>0</v>
      </c>
      <c r="AD350" s="4">
        <v>0</v>
      </c>
      <c r="AE350" s="4">
        <v>0</v>
      </c>
      <c r="AF350" s="4">
        <v>0</v>
      </c>
      <c r="AG350" s="4">
        <v>1</v>
      </c>
      <c r="AH350" s="4">
        <v>0.84</v>
      </c>
      <c r="AI350" s="4">
        <v>0</v>
      </c>
      <c r="AJ350" t="s">
        <v>72</v>
      </c>
      <c r="AK350" t="s">
        <v>62</v>
      </c>
      <c r="AL350" t="s">
        <v>62</v>
      </c>
      <c r="AM350" t="s">
        <v>63</v>
      </c>
      <c r="AN350" t="s">
        <v>64</v>
      </c>
      <c r="AO350" t="s">
        <v>79</v>
      </c>
      <c r="AP350" t="s">
        <v>75</v>
      </c>
    </row>
    <row r="351" spans="1:42" x14ac:dyDescent="0.25">
      <c r="A351" t="str">
        <f>HYPERLINK("HTTP://10.0.1.74/krs/619/detail","/krs/619")</f>
        <v>/krs/619</v>
      </c>
      <c r="B351">
        <v>619</v>
      </c>
      <c r="C351" t="s">
        <v>461</v>
      </c>
      <c r="D351" t="s">
        <v>228</v>
      </c>
      <c r="E351" t="s">
        <v>68</v>
      </c>
      <c r="F351" t="s">
        <v>462</v>
      </c>
      <c r="G351" s="1">
        <v>43228.594918981478</v>
      </c>
      <c r="H351" t="s">
        <v>459</v>
      </c>
      <c r="I351" t="s">
        <v>51</v>
      </c>
      <c r="J351" t="s">
        <v>463</v>
      </c>
      <c r="K351" s="3"/>
      <c r="L351" s="3"/>
      <c r="M351" s="3"/>
      <c r="N351" s="4"/>
      <c r="O351" s="3"/>
      <c r="P351" s="3"/>
      <c r="Q351" s="3"/>
      <c r="R351" s="3"/>
      <c r="S351" s="5"/>
      <c r="T351" s="5"/>
      <c r="U351" s="4"/>
      <c r="V351" s="4"/>
      <c r="W351" s="4"/>
      <c r="X351" s="4"/>
      <c r="Y351" s="4"/>
      <c r="Z351" s="4"/>
      <c r="AA351" s="3"/>
      <c r="AB351" s="3"/>
      <c r="AC351" s="5"/>
      <c r="AD351" s="4"/>
      <c r="AE351" s="4"/>
      <c r="AF351" s="4"/>
      <c r="AG351" s="4"/>
      <c r="AH351" s="4"/>
      <c r="AI351" s="4"/>
      <c r="AJ351" t="s">
        <v>52</v>
      </c>
      <c r="AK351" t="s">
        <v>52</v>
      </c>
      <c r="AL351" t="s">
        <v>52</v>
      </c>
      <c r="AM351" t="s">
        <v>52</v>
      </c>
      <c r="AN351" t="s">
        <v>52</v>
      </c>
      <c r="AO351" t="s">
        <v>52</v>
      </c>
      <c r="AP351" t="s">
        <v>52</v>
      </c>
    </row>
    <row r="352" spans="1:42" x14ac:dyDescent="0.25">
      <c r="A352" t="str">
        <f>HYPERLINK("HTTP://10.0.1.74/krs/620/detail","/krs/620")</f>
        <v>/krs/620</v>
      </c>
      <c r="B352">
        <v>620</v>
      </c>
      <c r="C352" t="s">
        <v>464</v>
      </c>
      <c r="D352" t="s">
        <v>435</v>
      </c>
      <c r="E352" t="s">
        <v>54</v>
      </c>
      <c r="F352" t="s">
        <v>465</v>
      </c>
      <c r="G352" s="1">
        <v>43201</v>
      </c>
      <c r="H352" t="s">
        <v>294</v>
      </c>
      <c r="I352" t="s">
        <v>51</v>
      </c>
      <c r="J352" t="s">
        <v>448</v>
      </c>
      <c r="K352" s="3">
        <v>1310</v>
      </c>
      <c r="L352" s="3">
        <v>562</v>
      </c>
      <c r="M352" s="3">
        <v>1872</v>
      </c>
      <c r="N352" s="4">
        <v>0.7</v>
      </c>
      <c r="O352" s="3">
        <v>72</v>
      </c>
      <c r="P352" s="3"/>
      <c r="Q352" s="3">
        <v>39</v>
      </c>
      <c r="R352" s="3">
        <v>72</v>
      </c>
      <c r="S352" s="5">
        <v>3.6</v>
      </c>
      <c r="T352" s="5">
        <v>3.6</v>
      </c>
      <c r="U352" s="4">
        <v>0.73</v>
      </c>
      <c r="V352" s="4">
        <v>0.7</v>
      </c>
      <c r="W352" s="4">
        <v>0.96</v>
      </c>
      <c r="X352" s="4">
        <v>0</v>
      </c>
      <c r="Y352" s="4">
        <v>0.54</v>
      </c>
      <c r="Z352" s="4">
        <v>0.3</v>
      </c>
      <c r="AA352" s="3">
        <v>0</v>
      </c>
      <c r="AB352" s="3">
        <v>0</v>
      </c>
      <c r="AC352" s="5">
        <v>0</v>
      </c>
      <c r="AD352" s="4">
        <v>0</v>
      </c>
      <c r="AE352" s="4">
        <v>0</v>
      </c>
      <c r="AF352" s="4">
        <v>0</v>
      </c>
      <c r="AG352" s="4">
        <v>1</v>
      </c>
      <c r="AH352" s="4">
        <v>0.75</v>
      </c>
      <c r="AI352" s="4">
        <v>0</v>
      </c>
      <c r="AJ352" t="s">
        <v>72</v>
      </c>
      <c r="AK352" t="s">
        <v>62</v>
      </c>
      <c r="AL352" t="s">
        <v>62</v>
      </c>
      <c r="AM352" t="s">
        <v>63</v>
      </c>
      <c r="AN352" t="s">
        <v>64</v>
      </c>
      <c r="AO352" t="s">
        <v>79</v>
      </c>
      <c r="AP352" t="s">
        <v>75</v>
      </c>
    </row>
    <row r="353" spans="1:42" x14ac:dyDescent="0.25">
      <c r="A353" t="str">
        <f>HYPERLINK("HTTP://10.0.1.74/krs/622/detail","/krs/622")</f>
        <v>/krs/622</v>
      </c>
      <c r="B353">
        <v>622</v>
      </c>
      <c r="C353" t="s">
        <v>93</v>
      </c>
      <c r="D353" t="s">
        <v>310</v>
      </c>
      <c r="E353" t="s">
        <v>68</v>
      </c>
      <c r="F353" t="s">
        <v>284</v>
      </c>
      <c r="G353" s="1">
        <v>43228</v>
      </c>
      <c r="H353" t="s">
        <v>283</v>
      </c>
      <c r="I353" t="s">
        <v>51</v>
      </c>
      <c r="K353" s="3">
        <v>1060</v>
      </c>
      <c r="L353" s="3">
        <v>494</v>
      </c>
      <c r="M353" s="3">
        <v>1554</v>
      </c>
      <c r="N353" s="4">
        <v>0.68</v>
      </c>
      <c r="O353" s="3">
        <v>111</v>
      </c>
      <c r="P353" s="3"/>
      <c r="Q353" s="3">
        <v>70</v>
      </c>
      <c r="R353" s="3">
        <v>110</v>
      </c>
      <c r="S353" s="5">
        <v>3.7</v>
      </c>
      <c r="T353" s="5">
        <v>3.6</v>
      </c>
      <c r="U353" s="4">
        <v>0.73</v>
      </c>
      <c r="V353" s="4">
        <v>0.68</v>
      </c>
      <c r="W353" s="4">
        <v>0.89</v>
      </c>
      <c r="X353" s="4">
        <v>0</v>
      </c>
      <c r="Y353" s="4">
        <v>0.64</v>
      </c>
      <c r="Z353" s="4">
        <v>0.32</v>
      </c>
      <c r="AA353" s="3">
        <v>0</v>
      </c>
      <c r="AB353" s="3">
        <v>0</v>
      </c>
      <c r="AC353" s="5">
        <v>0</v>
      </c>
      <c r="AD353" s="4">
        <v>0</v>
      </c>
      <c r="AE353" s="4">
        <v>0</v>
      </c>
      <c r="AF353" s="4">
        <v>0</v>
      </c>
      <c r="AG353" s="4">
        <v>1</v>
      </c>
      <c r="AH353" s="4">
        <v>0.75</v>
      </c>
      <c r="AI353" s="4">
        <v>0.51</v>
      </c>
      <c r="AJ353" t="s">
        <v>72</v>
      </c>
      <c r="AK353" t="s">
        <v>61</v>
      </c>
      <c r="AL353" t="s">
        <v>62</v>
      </c>
      <c r="AM353" t="s">
        <v>63</v>
      </c>
      <c r="AN353" t="s">
        <v>64</v>
      </c>
      <c r="AO353" t="s">
        <v>79</v>
      </c>
      <c r="AP353" t="s">
        <v>75</v>
      </c>
    </row>
    <row r="354" spans="1:42" x14ac:dyDescent="0.25">
      <c r="A354" t="str">
        <f>HYPERLINK("HTTP://10.0.1.74/krs/623/detail","/krs/623")</f>
        <v>/krs/623</v>
      </c>
      <c r="B354">
        <v>623</v>
      </c>
      <c r="C354" t="s">
        <v>466</v>
      </c>
      <c r="D354" t="s">
        <v>310</v>
      </c>
      <c r="E354" t="s">
        <v>141</v>
      </c>
      <c r="F354" t="s">
        <v>335</v>
      </c>
      <c r="G354" s="1">
        <v>43230.693495370368</v>
      </c>
      <c r="H354" t="s">
        <v>229</v>
      </c>
      <c r="I354" t="s">
        <v>51</v>
      </c>
      <c r="J354" t="s">
        <v>467</v>
      </c>
      <c r="K354" s="3"/>
      <c r="L354" s="3"/>
      <c r="M354" s="3"/>
      <c r="N354" s="4"/>
      <c r="O354" s="3"/>
      <c r="P354" s="3"/>
      <c r="Q354" s="3"/>
      <c r="R354" s="3"/>
      <c r="S354" s="5"/>
      <c r="T354" s="5"/>
      <c r="U354" s="4"/>
      <c r="V354" s="4"/>
      <c r="W354" s="4"/>
      <c r="X354" s="4"/>
      <c r="Y354" s="4"/>
      <c r="Z354" s="4"/>
      <c r="AA354" s="3"/>
      <c r="AB354" s="3"/>
      <c r="AC354" s="5"/>
      <c r="AD354" s="4"/>
      <c r="AE354" s="4"/>
      <c r="AF354" s="4"/>
      <c r="AG354" s="4"/>
      <c r="AH354" s="4"/>
      <c r="AI354" s="4"/>
      <c r="AJ354" t="s">
        <v>52</v>
      </c>
      <c r="AK354" t="s">
        <v>52</v>
      </c>
      <c r="AL354" t="s">
        <v>52</v>
      </c>
      <c r="AM354" t="s">
        <v>52</v>
      </c>
      <c r="AN354" t="s">
        <v>52</v>
      </c>
      <c r="AO354" t="s">
        <v>52</v>
      </c>
      <c r="AP354" t="s">
        <v>52</v>
      </c>
    </row>
    <row r="355" spans="1:42" x14ac:dyDescent="0.25">
      <c r="A355" t="str">
        <f>HYPERLINK("HTTP://10.0.1.74/krs/626/detail","/krs/626")</f>
        <v>/krs/626</v>
      </c>
      <c r="B355">
        <v>626</v>
      </c>
      <c r="C355" t="s">
        <v>468</v>
      </c>
      <c r="D355" t="s">
        <v>310</v>
      </c>
      <c r="E355" t="s">
        <v>68</v>
      </c>
      <c r="F355" t="s">
        <v>95</v>
      </c>
      <c r="G355" s="1">
        <v>43227</v>
      </c>
      <c r="H355" t="s">
        <v>275</v>
      </c>
      <c r="I355" t="s">
        <v>57</v>
      </c>
      <c r="J355" t="s">
        <v>322</v>
      </c>
      <c r="K355" s="3">
        <v>1628</v>
      </c>
      <c r="L355" s="3">
        <v>672</v>
      </c>
      <c r="M355" s="3">
        <v>2300</v>
      </c>
      <c r="N355" s="4">
        <v>0.71</v>
      </c>
      <c r="O355" s="3">
        <v>115</v>
      </c>
      <c r="P355" s="3"/>
      <c r="Q355" s="3">
        <v>70</v>
      </c>
      <c r="R355" s="3">
        <v>115</v>
      </c>
      <c r="S355" s="5">
        <v>3.7</v>
      </c>
      <c r="T355" s="5">
        <v>3.7</v>
      </c>
      <c r="U355" s="4">
        <v>0.74</v>
      </c>
      <c r="V355" s="4">
        <v>0.71</v>
      </c>
      <c r="W355" s="4">
        <v>0.9</v>
      </c>
      <c r="X355" s="4">
        <v>0.9</v>
      </c>
      <c r="Y355" s="4">
        <v>0.61</v>
      </c>
      <c r="Z355" s="4">
        <v>0.28999999999999998</v>
      </c>
      <c r="AA355" s="3">
        <v>84</v>
      </c>
      <c r="AB355" s="3">
        <v>51</v>
      </c>
      <c r="AC355" s="5">
        <v>4</v>
      </c>
      <c r="AD355" s="4">
        <v>1</v>
      </c>
      <c r="AE355" s="4">
        <v>0.79</v>
      </c>
      <c r="AF355" s="4">
        <v>0.61</v>
      </c>
      <c r="AG355" s="4">
        <v>0.21</v>
      </c>
      <c r="AH355" s="4">
        <v>0.83</v>
      </c>
      <c r="AI355" s="4">
        <v>0.43</v>
      </c>
      <c r="AJ355" t="s">
        <v>72</v>
      </c>
      <c r="AK355" t="s">
        <v>62</v>
      </c>
      <c r="AL355" t="s">
        <v>62</v>
      </c>
      <c r="AM355" t="s">
        <v>104</v>
      </c>
      <c r="AN355" t="s">
        <v>97</v>
      </c>
      <c r="AO355" t="s">
        <v>65</v>
      </c>
      <c r="AP355" t="s">
        <v>75</v>
      </c>
    </row>
    <row r="356" spans="1:42" x14ac:dyDescent="0.25">
      <c r="A356" t="str">
        <f>HYPERLINK("HTTP://10.0.1.74/krs/627/detail","/krs/627")</f>
        <v>/krs/627</v>
      </c>
      <c r="B356">
        <v>627</v>
      </c>
      <c r="C356" t="s">
        <v>59</v>
      </c>
      <c r="D356" t="s">
        <v>310</v>
      </c>
      <c r="E356" t="s">
        <v>98</v>
      </c>
      <c r="F356" t="s">
        <v>55</v>
      </c>
      <c r="G356" s="1">
        <v>43223</v>
      </c>
      <c r="H356" t="s">
        <v>146</v>
      </c>
      <c r="I356" t="s">
        <v>51</v>
      </c>
      <c r="K356" s="3">
        <v>343</v>
      </c>
      <c r="L356" s="3">
        <v>73</v>
      </c>
      <c r="M356" s="3">
        <v>416</v>
      </c>
      <c r="N356" s="4">
        <v>0.82</v>
      </c>
      <c r="O356" s="3">
        <v>16</v>
      </c>
      <c r="P356" s="3"/>
      <c r="Q356" s="3">
        <v>15</v>
      </c>
      <c r="R356" s="3">
        <v>16</v>
      </c>
      <c r="S356" s="5">
        <v>4</v>
      </c>
      <c r="T356" s="5">
        <v>4.4000000000000004</v>
      </c>
      <c r="U356" s="4">
        <v>0.88</v>
      </c>
      <c r="V356" s="4">
        <v>0.82</v>
      </c>
      <c r="W356" s="4">
        <v>1</v>
      </c>
      <c r="X356" s="4">
        <v>0.96</v>
      </c>
      <c r="Y356" s="4">
        <v>0.94</v>
      </c>
      <c r="Z356" s="4">
        <v>0.18</v>
      </c>
      <c r="AA356" s="3">
        <v>16</v>
      </c>
      <c r="AB356" s="3">
        <v>16</v>
      </c>
      <c r="AC356" s="5">
        <v>4.3</v>
      </c>
      <c r="AD356" s="4">
        <v>1</v>
      </c>
      <c r="AE356" s="4">
        <v>0.85</v>
      </c>
      <c r="AF356" s="4">
        <v>1</v>
      </c>
      <c r="AG356" s="4">
        <v>0.15</v>
      </c>
      <c r="AH356" s="4">
        <v>0.77</v>
      </c>
      <c r="AI356" s="4">
        <v>0</v>
      </c>
      <c r="AJ356" t="s">
        <v>72</v>
      </c>
      <c r="AK356" t="s">
        <v>62</v>
      </c>
      <c r="AL356" t="s">
        <v>62</v>
      </c>
      <c r="AM356" t="s">
        <v>63</v>
      </c>
      <c r="AN356" t="s">
        <v>97</v>
      </c>
      <c r="AO356" t="s">
        <v>79</v>
      </c>
      <c r="AP356" t="s">
        <v>66</v>
      </c>
    </row>
    <row r="357" spans="1:42" x14ac:dyDescent="0.25">
      <c r="A357" t="str">
        <f>HYPERLINK("HTTP://10.0.1.74/krs/628/detail","/krs/628")</f>
        <v>/krs/628</v>
      </c>
      <c r="B357">
        <v>628</v>
      </c>
      <c r="C357" t="s">
        <v>85</v>
      </c>
      <c r="D357" t="s">
        <v>310</v>
      </c>
      <c r="E357" t="s">
        <v>98</v>
      </c>
      <c r="F357" t="s">
        <v>116</v>
      </c>
      <c r="G357" s="1">
        <v>43223</v>
      </c>
      <c r="H357" t="s">
        <v>146</v>
      </c>
      <c r="I357" t="s">
        <v>51</v>
      </c>
      <c r="K357" s="3">
        <v>231</v>
      </c>
      <c r="L357" s="3">
        <v>55</v>
      </c>
      <c r="M357" s="3">
        <v>286</v>
      </c>
      <c r="N357" s="4">
        <v>0.81</v>
      </c>
      <c r="O357" s="3">
        <v>11</v>
      </c>
      <c r="P357" s="3"/>
      <c r="Q357" s="3">
        <v>10</v>
      </c>
      <c r="R357" s="3">
        <v>11</v>
      </c>
      <c r="S357" s="5">
        <v>4</v>
      </c>
      <c r="T357" s="5">
        <v>4.3</v>
      </c>
      <c r="U357" s="4">
        <v>0.85</v>
      </c>
      <c r="V357" s="4">
        <v>0.81</v>
      </c>
      <c r="W357" s="4">
        <v>0.91</v>
      </c>
      <c r="X357" s="4">
        <v>0.94</v>
      </c>
      <c r="Y357" s="4">
        <v>0.91</v>
      </c>
      <c r="Z357" s="4">
        <v>0.19</v>
      </c>
      <c r="AA357" s="3">
        <v>10</v>
      </c>
      <c r="AB357" s="3">
        <v>9</v>
      </c>
      <c r="AC357" s="5">
        <v>4.3</v>
      </c>
      <c r="AD357" s="4">
        <v>1</v>
      </c>
      <c r="AE357" s="4">
        <v>0.86</v>
      </c>
      <c r="AF357" s="4">
        <v>0.9</v>
      </c>
      <c r="AG357" s="4">
        <v>0.14000000000000001</v>
      </c>
      <c r="AH357" s="4">
        <v>0.81</v>
      </c>
      <c r="AI357" s="4">
        <v>0</v>
      </c>
      <c r="AJ357" t="s">
        <v>72</v>
      </c>
      <c r="AK357" t="s">
        <v>62</v>
      </c>
      <c r="AL357" t="s">
        <v>62</v>
      </c>
      <c r="AM357" t="s">
        <v>63</v>
      </c>
      <c r="AN357" t="s">
        <v>97</v>
      </c>
      <c r="AO357" t="s">
        <v>65</v>
      </c>
      <c r="AP357" t="s">
        <v>66</v>
      </c>
    </row>
    <row r="358" spans="1:42" x14ac:dyDescent="0.25">
      <c r="A358" t="str">
        <f>HYPERLINK("HTTP://10.0.1.74/krs/629/detail","/krs/629")</f>
        <v>/krs/629</v>
      </c>
      <c r="B358">
        <v>629</v>
      </c>
      <c r="C358" t="s">
        <v>106</v>
      </c>
      <c r="D358" t="s">
        <v>310</v>
      </c>
      <c r="E358" t="s">
        <v>98</v>
      </c>
      <c r="F358" t="s">
        <v>126</v>
      </c>
      <c r="G358" s="1">
        <v>43231.743900462963</v>
      </c>
      <c r="H358" t="s">
        <v>146</v>
      </c>
      <c r="I358" t="s">
        <v>51</v>
      </c>
      <c r="K358" s="3">
        <v>553</v>
      </c>
      <c r="L358" s="3">
        <v>407</v>
      </c>
      <c r="M358" s="3">
        <v>960</v>
      </c>
      <c r="N358" s="4">
        <v>0.57999999999999996</v>
      </c>
      <c r="O358" s="3">
        <v>40</v>
      </c>
      <c r="P358" s="3"/>
      <c r="Q358" s="3">
        <v>20</v>
      </c>
      <c r="R358" s="3">
        <v>33</v>
      </c>
      <c r="S358" s="5">
        <v>3.6</v>
      </c>
      <c r="T358" s="5">
        <v>3.1</v>
      </c>
      <c r="U358" s="4">
        <v>0.76</v>
      </c>
      <c r="V358" s="4">
        <v>0.57999999999999996</v>
      </c>
      <c r="W358" s="4">
        <v>0.73</v>
      </c>
      <c r="X358" s="4">
        <v>0.73</v>
      </c>
      <c r="Y358" s="4">
        <v>0.61</v>
      </c>
      <c r="Z358" s="4">
        <v>0.42</v>
      </c>
      <c r="AA358" s="3">
        <v>24</v>
      </c>
      <c r="AB358" s="3">
        <v>15</v>
      </c>
      <c r="AC358" s="5">
        <v>4</v>
      </c>
      <c r="AD358" s="4">
        <v>1</v>
      </c>
      <c r="AE358" s="4">
        <v>0.8</v>
      </c>
      <c r="AF358" s="4">
        <v>0.63</v>
      </c>
      <c r="AG358" s="4">
        <v>0.2</v>
      </c>
      <c r="AH358" s="4">
        <v>0.46</v>
      </c>
      <c r="AI358" s="4">
        <v>0.73</v>
      </c>
      <c r="AJ358" t="s">
        <v>60</v>
      </c>
      <c r="AK358" t="s">
        <v>86</v>
      </c>
      <c r="AL358" t="s">
        <v>62</v>
      </c>
      <c r="AM358" t="s">
        <v>73</v>
      </c>
      <c r="AN358" t="s">
        <v>97</v>
      </c>
      <c r="AO358" t="s">
        <v>74</v>
      </c>
      <c r="AP358" t="s">
        <v>75</v>
      </c>
    </row>
    <row r="359" spans="1:42" x14ac:dyDescent="0.25">
      <c r="A359" t="str">
        <f>HYPERLINK("HTTP://10.0.1.74/krs/630/detail","/krs/630")</f>
        <v>/krs/630</v>
      </c>
      <c r="B359">
        <v>630</v>
      </c>
      <c r="C359" t="s">
        <v>106</v>
      </c>
      <c r="D359" t="s">
        <v>310</v>
      </c>
      <c r="E359" t="s">
        <v>68</v>
      </c>
      <c r="F359" t="s">
        <v>69</v>
      </c>
      <c r="G359" s="1">
        <v>43235</v>
      </c>
      <c r="H359" t="s">
        <v>70</v>
      </c>
      <c r="I359" t="s">
        <v>51</v>
      </c>
      <c r="K359" s="3">
        <v>499</v>
      </c>
      <c r="L359" s="3">
        <v>151</v>
      </c>
      <c r="M359" s="3">
        <v>650</v>
      </c>
      <c r="N359" s="4">
        <v>0.77</v>
      </c>
      <c r="O359" s="3">
        <v>25</v>
      </c>
      <c r="P359" s="3"/>
      <c r="Q359" s="3">
        <v>18</v>
      </c>
      <c r="R359" s="3">
        <v>25</v>
      </c>
      <c r="S359" s="5">
        <v>3.9</v>
      </c>
      <c r="T359" s="5">
        <v>3.9</v>
      </c>
      <c r="U359" s="4">
        <v>0.78</v>
      </c>
      <c r="V359" s="4">
        <v>0.77</v>
      </c>
      <c r="W359" s="4">
        <v>1</v>
      </c>
      <c r="X359" s="4">
        <v>0.92</v>
      </c>
      <c r="Y359" s="4">
        <v>0.72</v>
      </c>
      <c r="Z359" s="4">
        <v>0.23</v>
      </c>
      <c r="AA359" s="3">
        <v>24</v>
      </c>
      <c r="AB359" s="3">
        <v>19</v>
      </c>
      <c r="AC359" s="5">
        <v>4.2</v>
      </c>
      <c r="AD359" s="4">
        <v>1</v>
      </c>
      <c r="AE359" s="4">
        <v>0.84</v>
      </c>
      <c r="AF359" s="4">
        <v>0.79</v>
      </c>
      <c r="AG359" s="4">
        <v>0.16</v>
      </c>
      <c r="AH359" s="4">
        <v>0.83</v>
      </c>
      <c r="AI359" s="4">
        <v>0.56999999999999995</v>
      </c>
      <c r="AJ359" t="s">
        <v>72</v>
      </c>
      <c r="AK359" t="s">
        <v>62</v>
      </c>
      <c r="AL359" t="s">
        <v>62</v>
      </c>
      <c r="AM359" t="s">
        <v>104</v>
      </c>
      <c r="AN359" t="s">
        <v>97</v>
      </c>
      <c r="AO359" t="s">
        <v>65</v>
      </c>
      <c r="AP359" t="s">
        <v>66</v>
      </c>
    </row>
    <row r="360" spans="1:42" x14ac:dyDescent="0.25">
      <c r="A360" t="str">
        <f>HYPERLINK("HTTP://10.0.1.74/krs/631/detail","/krs/631")</f>
        <v>/krs/631</v>
      </c>
      <c r="B360">
        <v>631</v>
      </c>
      <c r="C360" t="s">
        <v>469</v>
      </c>
      <c r="D360" t="s">
        <v>310</v>
      </c>
      <c r="E360" t="s">
        <v>68</v>
      </c>
      <c r="F360" t="s">
        <v>107</v>
      </c>
      <c r="G360" s="1">
        <v>43232.539467592593</v>
      </c>
      <c r="H360" t="s">
        <v>275</v>
      </c>
      <c r="I360" t="s">
        <v>51</v>
      </c>
      <c r="J360" t="s">
        <v>470</v>
      </c>
      <c r="K360" s="3">
        <v>166</v>
      </c>
      <c r="L360" s="3">
        <v>120</v>
      </c>
      <c r="M360" s="3">
        <v>286</v>
      </c>
      <c r="N360" s="4">
        <v>0.57999999999999996</v>
      </c>
      <c r="O360" s="3">
        <v>22</v>
      </c>
      <c r="P360" s="3"/>
      <c r="Q360" s="3">
        <v>9</v>
      </c>
      <c r="R360" s="3">
        <v>20</v>
      </c>
      <c r="S360" s="5">
        <v>3.1</v>
      </c>
      <c r="T360" s="5">
        <v>3.2</v>
      </c>
      <c r="U360" s="4">
        <v>0.71</v>
      </c>
      <c r="V360" s="4">
        <v>0.57999999999999996</v>
      </c>
      <c r="W360" s="4">
        <v>0.9</v>
      </c>
      <c r="X360" s="4">
        <v>0</v>
      </c>
      <c r="Y360" s="4">
        <v>0.45</v>
      </c>
      <c r="Z360" s="4">
        <v>0.42</v>
      </c>
      <c r="AA360" s="3">
        <v>0</v>
      </c>
      <c r="AB360" s="3">
        <v>0</v>
      </c>
      <c r="AC360" s="5">
        <v>0</v>
      </c>
      <c r="AD360" s="4">
        <v>0</v>
      </c>
      <c r="AE360" s="4">
        <v>0</v>
      </c>
      <c r="AF360" s="4">
        <v>0</v>
      </c>
      <c r="AG360" s="4">
        <v>1</v>
      </c>
      <c r="AH360" s="4">
        <v>0.7</v>
      </c>
      <c r="AI360" s="4">
        <v>0.32</v>
      </c>
      <c r="AJ360" t="s">
        <v>60</v>
      </c>
      <c r="AK360" t="s">
        <v>86</v>
      </c>
      <c r="AL360" t="s">
        <v>62</v>
      </c>
      <c r="AM360" t="s">
        <v>63</v>
      </c>
      <c r="AN360" t="s">
        <v>64</v>
      </c>
      <c r="AO360" t="s">
        <v>79</v>
      </c>
      <c r="AP360" t="s">
        <v>75</v>
      </c>
    </row>
    <row r="361" spans="1:42" x14ac:dyDescent="0.25">
      <c r="A361" t="str">
        <f>HYPERLINK("HTTP://10.0.1.74/krs/632/detail","/krs/632")</f>
        <v>/krs/632</v>
      </c>
      <c r="B361">
        <v>632</v>
      </c>
      <c r="C361" t="s">
        <v>471</v>
      </c>
      <c r="D361" t="s">
        <v>310</v>
      </c>
      <c r="E361" t="s">
        <v>98</v>
      </c>
      <c r="F361" t="s">
        <v>95</v>
      </c>
      <c r="G361" s="1">
        <v>43233.461782407408</v>
      </c>
      <c r="H361" t="s">
        <v>100</v>
      </c>
      <c r="I361" t="s">
        <v>57</v>
      </c>
      <c r="J361" t="s">
        <v>472</v>
      </c>
      <c r="K361" s="3">
        <v>1225</v>
      </c>
      <c r="L361" s="3">
        <v>395</v>
      </c>
      <c r="M361" s="3">
        <v>1620</v>
      </c>
      <c r="N361" s="4">
        <v>0.76</v>
      </c>
      <c r="O361" s="3">
        <v>60</v>
      </c>
      <c r="P361" s="3"/>
      <c r="Q361" s="3">
        <v>42</v>
      </c>
      <c r="R361" s="3">
        <v>60</v>
      </c>
      <c r="S361" s="5">
        <v>3.8</v>
      </c>
      <c r="T361" s="5">
        <v>3.8</v>
      </c>
      <c r="U361" s="4">
        <v>0.77</v>
      </c>
      <c r="V361" s="4">
        <v>0.76</v>
      </c>
      <c r="W361" s="4">
        <v>0.95</v>
      </c>
      <c r="X361" s="4">
        <v>0.88</v>
      </c>
      <c r="Y361" s="4">
        <v>0.7</v>
      </c>
      <c r="Z361" s="4">
        <v>0.24</v>
      </c>
      <c r="AA361" s="3">
        <v>44</v>
      </c>
      <c r="AB361" s="3">
        <v>39</v>
      </c>
      <c r="AC361" s="5">
        <v>4.3</v>
      </c>
      <c r="AD361" s="4">
        <v>1</v>
      </c>
      <c r="AE361" s="4">
        <v>0.86</v>
      </c>
      <c r="AF361" s="4">
        <v>0.89</v>
      </c>
      <c r="AG361" s="4">
        <v>0.14000000000000001</v>
      </c>
      <c r="AH361" s="4">
        <v>0.77</v>
      </c>
      <c r="AI361" s="4">
        <v>0.69</v>
      </c>
      <c r="AJ361" t="s">
        <v>72</v>
      </c>
      <c r="AK361" t="s">
        <v>62</v>
      </c>
      <c r="AL361" t="s">
        <v>62</v>
      </c>
      <c r="AM361" t="s">
        <v>104</v>
      </c>
      <c r="AN361" t="s">
        <v>64</v>
      </c>
      <c r="AO361" t="s">
        <v>74</v>
      </c>
      <c r="AP361" t="s">
        <v>75</v>
      </c>
    </row>
    <row r="362" spans="1:42" x14ac:dyDescent="0.25">
      <c r="A362" t="str">
        <f>HYPERLINK("HTTP://10.0.1.74/krs/634/detail","/krs/634")</f>
        <v>/krs/634</v>
      </c>
      <c r="B362">
        <v>634</v>
      </c>
      <c r="C362" t="s">
        <v>473</v>
      </c>
      <c r="D362" t="s">
        <v>81</v>
      </c>
      <c r="E362" t="s">
        <v>54</v>
      </c>
      <c r="F362" t="s">
        <v>55</v>
      </c>
      <c r="G362" s="1">
        <v>43234.858564814815</v>
      </c>
      <c r="H362" t="s">
        <v>56</v>
      </c>
      <c r="I362" t="s">
        <v>57</v>
      </c>
      <c r="J362" t="s">
        <v>474</v>
      </c>
      <c r="K362" s="3">
        <v>582</v>
      </c>
      <c r="L362" s="3">
        <v>330</v>
      </c>
      <c r="M362" s="3">
        <v>912</v>
      </c>
      <c r="N362" s="4">
        <v>0.64</v>
      </c>
      <c r="O362" s="3">
        <v>16</v>
      </c>
      <c r="P362" s="3"/>
      <c r="Q362" s="3">
        <v>6</v>
      </c>
      <c r="R362" s="3">
        <v>16</v>
      </c>
      <c r="S362" s="5">
        <v>3.1</v>
      </c>
      <c r="T362" s="5">
        <v>3.2</v>
      </c>
      <c r="U362" s="4">
        <v>0.64</v>
      </c>
      <c r="V362" s="4">
        <v>0.64</v>
      </c>
      <c r="W362" s="4">
        <v>0.81</v>
      </c>
      <c r="X362" s="4">
        <v>0.9</v>
      </c>
      <c r="Y362" s="4">
        <v>0.38</v>
      </c>
      <c r="Z362" s="4">
        <v>0.36</v>
      </c>
      <c r="AA362" s="3">
        <v>16</v>
      </c>
      <c r="AB362" s="3">
        <v>9</v>
      </c>
      <c r="AC362" s="5">
        <v>3.6</v>
      </c>
      <c r="AD362" s="4">
        <v>1</v>
      </c>
      <c r="AE362" s="4">
        <v>0.71</v>
      </c>
      <c r="AF362" s="4">
        <v>0.56000000000000005</v>
      </c>
      <c r="AG362" s="4">
        <v>0.28999999999999998</v>
      </c>
      <c r="AH362" s="4">
        <v>0.81</v>
      </c>
      <c r="AI362" s="4">
        <v>0.57999999999999996</v>
      </c>
      <c r="AJ362" t="s">
        <v>72</v>
      </c>
      <c r="AK362" t="s">
        <v>61</v>
      </c>
      <c r="AL362" t="s">
        <v>62</v>
      </c>
      <c r="AM362" t="s">
        <v>104</v>
      </c>
      <c r="AN362" t="s">
        <v>64</v>
      </c>
      <c r="AO362" t="s">
        <v>65</v>
      </c>
      <c r="AP362" t="s">
        <v>75</v>
      </c>
    </row>
    <row r="363" spans="1:42" x14ac:dyDescent="0.25">
      <c r="A363" t="str">
        <f>HYPERLINK("HTTP://10.0.1.74/krs/635/detail","/krs/635")</f>
        <v>/krs/635</v>
      </c>
      <c r="B363">
        <v>635</v>
      </c>
      <c r="C363" t="s">
        <v>475</v>
      </c>
      <c r="D363" t="s">
        <v>310</v>
      </c>
      <c r="E363" t="s">
        <v>98</v>
      </c>
      <c r="F363" t="s">
        <v>112</v>
      </c>
      <c r="G363" s="1">
        <v>43234.913090277776</v>
      </c>
      <c r="H363" t="s">
        <v>299</v>
      </c>
      <c r="I363" t="s">
        <v>57</v>
      </c>
      <c r="J363" t="s">
        <v>476</v>
      </c>
      <c r="K363" s="3">
        <v>360</v>
      </c>
      <c r="L363" s="3">
        <v>56</v>
      </c>
      <c r="M363" s="3">
        <v>416</v>
      </c>
      <c r="N363" s="4">
        <v>0.87</v>
      </c>
      <c r="O363" s="3">
        <v>16</v>
      </c>
      <c r="P363" s="3"/>
      <c r="Q363" s="3">
        <v>14</v>
      </c>
      <c r="R363" s="3">
        <v>16</v>
      </c>
      <c r="S363" s="5">
        <v>4.3</v>
      </c>
      <c r="T363" s="5">
        <v>4.3</v>
      </c>
      <c r="U363" s="4">
        <v>0.85</v>
      </c>
      <c r="V363" s="4">
        <v>0.87</v>
      </c>
      <c r="W363" s="4">
        <v>1</v>
      </c>
      <c r="X363" s="4">
        <v>1.1000000000000001</v>
      </c>
      <c r="Y363" s="4">
        <v>0.88</v>
      </c>
      <c r="Z363" s="4">
        <v>0.13</v>
      </c>
      <c r="AA363" s="3">
        <v>16</v>
      </c>
      <c r="AB363" s="3">
        <v>11</v>
      </c>
      <c r="AC363" s="5">
        <v>4</v>
      </c>
      <c r="AD363" s="4">
        <v>1</v>
      </c>
      <c r="AE363" s="4">
        <v>0.79</v>
      </c>
      <c r="AF363" s="4">
        <v>0.69</v>
      </c>
      <c r="AG363" s="4">
        <v>0.21</v>
      </c>
      <c r="AH363" s="4">
        <v>0.87</v>
      </c>
      <c r="AI363" s="4">
        <v>0</v>
      </c>
      <c r="AJ363" t="s">
        <v>72</v>
      </c>
      <c r="AK363" t="s">
        <v>62</v>
      </c>
      <c r="AL363" t="s">
        <v>62</v>
      </c>
      <c r="AM363" t="s">
        <v>63</v>
      </c>
      <c r="AN363" t="s">
        <v>64</v>
      </c>
      <c r="AO363" t="s">
        <v>79</v>
      </c>
      <c r="AP363" t="s">
        <v>66</v>
      </c>
    </row>
    <row r="364" spans="1:42" x14ac:dyDescent="0.25">
      <c r="A364" t="str">
        <f>HYPERLINK("HTTP://10.0.1.74/krs/636/detail","/krs/636")</f>
        <v>/krs/636</v>
      </c>
      <c r="B364">
        <v>636</v>
      </c>
      <c r="C364" t="s">
        <v>477</v>
      </c>
      <c r="D364" t="s">
        <v>310</v>
      </c>
      <c r="E364" t="s">
        <v>98</v>
      </c>
      <c r="F364" t="s">
        <v>116</v>
      </c>
      <c r="G364" s="1">
        <v>43234.948414351849</v>
      </c>
      <c r="H364" t="s">
        <v>299</v>
      </c>
      <c r="I364" t="s">
        <v>57</v>
      </c>
      <c r="J364" t="s">
        <v>478</v>
      </c>
      <c r="K364" s="3">
        <v>215</v>
      </c>
      <c r="L364" s="3">
        <v>19</v>
      </c>
      <c r="M364" s="3">
        <v>234</v>
      </c>
      <c r="N364" s="4">
        <v>0.92</v>
      </c>
      <c r="O364" s="3">
        <v>9</v>
      </c>
      <c r="P364" s="3"/>
      <c r="Q364" s="3">
        <v>9</v>
      </c>
      <c r="R364" s="3">
        <v>9</v>
      </c>
      <c r="S364" s="5">
        <v>4.5999999999999996</v>
      </c>
      <c r="T364" s="5">
        <v>4.5999999999999996</v>
      </c>
      <c r="U364" s="4">
        <v>0.91</v>
      </c>
      <c r="V364" s="4">
        <v>0.92</v>
      </c>
      <c r="W364" s="4">
        <v>1</v>
      </c>
      <c r="X364" s="4">
        <v>1.1200000000000001</v>
      </c>
      <c r="Y364" s="4">
        <v>1</v>
      </c>
      <c r="Z364" s="4">
        <v>0.08</v>
      </c>
      <c r="AA364" s="3">
        <v>9</v>
      </c>
      <c r="AB364" s="3">
        <v>8</v>
      </c>
      <c r="AC364" s="5">
        <v>4.0999999999999996</v>
      </c>
      <c r="AD364" s="4">
        <v>1</v>
      </c>
      <c r="AE364" s="4">
        <v>0.82</v>
      </c>
      <c r="AF364" s="4">
        <v>0.89</v>
      </c>
      <c r="AG364" s="4">
        <v>0.18</v>
      </c>
      <c r="AH364" s="4">
        <v>0.92</v>
      </c>
      <c r="AI364" s="4">
        <v>0</v>
      </c>
      <c r="AJ364" t="s">
        <v>72</v>
      </c>
      <c r="AK364" t="s">
        <v>62</v>
      </c>
      <c r="AL364" t="s">
        <v>62</v>
      </c>
      <c r="AM364" t="s">
        <v>63</v>
      </c>
      <c r="AN364" t="s">
        <v>64</v>
      </c>
      <c r="AO364" t="s">
        <v>79</v>
      </c>
      <c r="AP364" t="s">
        <v>66</v>
      </c>
    </row>
    <row r="365" spans="1:42" x14ac:dyDescent="0.25">
      <c r="A365" t="str">
        <f>HYPERLINK("HTTP://10.0.1.74/krs/639/detail","/krs/639")</f>
        <v>/krs/639</v>
      </c>
      <c r="B365">
        <v>639</v>
      </c>
      <c r="C365" t="s">
        <v>479</v>
      </c>
      <c r="D365" t="s">
        <v>435</v>
      </c>
      <c r="E365" t="s">
        <v>68</v>
      </c>
      <c r="F365" t="s">
        <v>480</v>
      </c>
      <c r="G365" s="1">
        <v>43214</v>
      </c>
      <c r="H365" t="s">
        <v>454</v>
      </c>
      <c r="I365" t="s">
        <v>51</v>
      </c>
      <c r="J365" t="s">
        <v>481</v>
      </c>
      <c r="K365" s="3">
        <v>701</v>
      </c>
      <c r="L365" s="3">
        <v>199</v>
      </c>
      <c r="M365" s="3">
        <v>900</v>
      </c>
      <c r="N365" s="4">
        <v>0.78</v>
      </c>
      <c r="O365" s="3">
        <v>50</v>
      </c>
      <c r="P365" s="3"/>
      <c r="Q365" s="3">
        <v>0</v>
      </c>
      <c r="R365" s="3">
        <v>48</v>
      </c>
      <c r="S365" s="5">
        <v>4</v>
      </c>
      <c r="T365" s="5">
        <v>1</v>
      </c>
      <c r="U365" s="4">
        <v>0.21</v>
      </c>
      <c r="V365" s="4">
        <v>0.78</v>
      </c>
      <c r="W365" s="4">
        <v>-0.04</v>
      </c>
      <c r="X365" s="4">
        <v>0</v>
      </c>
      <c r="Y365" s="4">
        <v>0</v>
      </c>
      <c r="Z365" s="4">
        <v>0.22</v>
      </c>
      <c r="AA365" s="3">
        <v>0</v>
      </c>
      <c r="AB365" s="3">
        <v>0</v>
      </c>
      <c r="AC365" s="5">
        <v>0</v>
      </c>
      <c r="AD365" s="4">
        <v>0</v>
      </c>
      <c r="AE365" s="4">
        <v>0</v>
      </c>
      <c r="AF365" s="4">
        <v>0</v>
      </c>
      <c r="AG365" s="4">
        <v>1</v>
      </c>
      <c r="AH365" s="4">
        <v>0.81</v>
      </c>
      <c r="AI365" s="4">
        <v>0.69</v>
      </c>
      <c r="AJ365" t="s">
        <v>60</v>
      </c>
      <c r="AK365" t="s">
        <v>62</v>
      </c>
      <c r="AL365" t="s">
        <v>86</v>
      </c>
      <c r="AM365" t="s">
        <v>63</v>
      </c>
      <c r="AN365" t="s">
        <v>97</v>
      </c>
      <c r="AO365" t="s">
        <v>79</v>
      </c>
      <c r="AP365" t="s">
        <v>75</v>
      </c>
    </row>
    <row r="366" spans="1:42" x14ac:dyDescent="0.25">
      <c r="A366" t="str">
        <f>HYPERLINK("HTTP://10.0.1.74/krs/642/detail","/krs/642")</f>
        <v>/krs/642</v>
      </c>
      <c r="B366">
        <v>642</v>
      </c>
      <c r="C366" t="s">
        <v>59</v>
      </c>
      <c r="D366" t="s">
        <v>310</v>
      </c>
      <c r="E366" t="s">
        <v>125</v>
      </c>
      <c r="F366" t="s">
        <v>116</v>
      </c>
      <c r="G366" s="1">
        <v>43237</v>
      </c>
      <c r="H366" t="s">
        <v>127</v>
      </c>
      <c r="I366" t="s">
        <v>51</v>
      </c>
      <c r="K366" s="3">
        <v>265</v>
      </c>
      <c r="L366" s="3">
        <v>95</v>
      </c>
      <c r="M366" s="3">
        <v>360</v>
      </c>
      <c r="N366" s="4">
        <v>0.74</v>
      </c>
      <c r="O366" s="3">
        <v>20</v>
      </c>
      <c r="P366" s="3"/>
      <c r="Q366" s="3">
        <v>14</v>
      </c>
      <c r="R366" s="3">
        <v>20</v>
      </c>
      <c r="S366" s="5">
        <v>3.8</v>
      </c>
      <c r="T366" s="5">
        <v>3.8</v>
      </c>
      <c r="U366" s="4">
        <v>0.76</v>
      </c>
      <c r="V366" s="4">
        <v>0.74</v>
      </c>
      <c r="W366" s="4">
        <v>0.85</v>
      </c>
      <c r="X366" s="4">
        <v>0.9</v>
      </c>
      <c r="Y366" s="4">
        <v>0.7</v>
      </c>
      <c r="Z366" s="4">
        <v>0.26</v>
      </c>
      <c r="AA366" s="3">
        <v>19</v>
      </c>
      <c r="AB366" s="3">
        <v>14</v>
      </c>
      <c r="AC366" s="5">
        <v>4.0999999999999996</v>
      </c>
      <c r="AD366" s="4">
        <v>1</v>
      </c>
      <c r="AE366" s="4">
        <v>0.82</v>
      </c>
      <c r="AF366" s="4">
        <v>0.74</v>
      </c>
      <c r="AG366" s="4">
        <v>0.18</v>
      </c>
      <c r="AH366" s="4">
        <v>0.95</v>
      </c>
      <c r="AI366" s="4">
        <v>0.75</v>
      </c>
      <c r="AJ366" t="s">
        <v>72</v>
      </c>
      <c r="AK366" t="s">
        <v>62</v>
      </c>
      <c r="AL366" t="s">
        <v>62</v>
      </c>
      <c r="AM366" t="s">
        <v>104</v>
      </c>
      <c r="AN366" t="s">
        <v>97</v>
      </c>
      <c r="AO366" t="s">
        <v>65</v>
      </c>
      <c r="AP366" t="s">
        <v>75</v>
      </c>
    </row>
    <row r="367" spans="1:42" x14ac:dyDescent="0.25">
      <c r="A367" t="str">
        <f>HYPERLINK("HTTP://10.0.1.74/krs/643/detail","/krs/643")</f>
        <v>/krs/643</v>
      </c>
      <c r="B367">
        <v>643</v>
      </c>
      <c r="C367" t="s">
        <v>482</v>
      </c>
      <c r="D367" t="s">
        <v>310</v>
      </c>
      <c r="E367" t="s">
        <v>68</v>
      </c>
      <c r="F367" t="s">
        <v>480</v>
      </c>
      <c r="G367" s="1">
        <v>43236.548217592594</v>
      </c>
      <c r="H367" t="s">
        <v>454</v>
      </c>
      <c r="I367" t="s">
        <v>51</v>
      </c>
      <c r="J367" t="s">
        <v>483</v>
      </c>
      <c r="K367" s="3">
        <v>732</v>
      </c>
      <c r="L367" s="3">
        <v>168</v>
      </c>
      <c r="M367" s="3">
        <v>900</v>
      </c>
      <c r="N367" s="4">
        <v>0.81</v>
      </c>
      <c r="O367" s="3">
        <v>50</v>
      </c>
      <c r="P367" s="3"/>
      <c r="Q367" s="3">
        <v>40</v>
      </c>
      <c r="R367" s="3">
        <v>48</v>
      </c>
      <c r="S367" s="5">
        <v>4.0999999999999996</v>
      </c>
      <c r="T367" s="5">
        <v>4</v>
      </c>
      <c r="U367" s="4">
        <v>0.84</v>
      </c>
      <c r="V367" s="4">
        <v>0.81</v>
      </c>
      <c r="W367" s="4">
        <v>0.92</v>
      </c>
      <c r="X367" s="4">
        <v>0</v>
      </c>
      <c r="Y367" s="4">
        <v>0.83</v>
      </c>
      <c r="Z367" s="4">
        <v>0.19</v>
      </c>
      <c r="AA367" s="3">
        <v>0</v>
      </c>
      <c r="AB367" s="3">
        <v>0</v>
      </c>
      <c r="AC367" s="5">
        <v>0</v>
      </c>
      <c r="AD367" s="4">
        <v>0</v>
      </c>
      <c r="AE367" s="4">
        <v>0</v>
      </c>
      <c r="AF367" s="4">
        <v>0</v>
      </c>
      <c r="AG367" s="4">
        <v>1</v>
      </c>
      <c r="AH367" s="4">
        <v>0.81</v>
      </c>
      <c r="AI367" s="4">
        <v>0</v>
      </c>
      <c r="AJ367" t="s">
        <v>72</v>
      </c>
      <c r="AK367" t="s">
        <v>62</v>
      </c>
      <c r="AL367" t="s">
        <v>62</v>
      </c>
      <c r="AM367" t="s">
        <v>63</v>
      </c>
      <c r="AN367" t="s">
        <v>64</v>
      </c>
      <c r="AO367" t="s">
        <v>79</v>
      </c>
      <c r="AP367" t="s">
        <v>75</v>
      </c>
    </row>
    <row r="368" spans="1:42" x14ac:dyDescent="0.25">
      <c r="A368" t="str">
        <f>HYPERLINK("HTTP://10.0.1.74/krs/644/detail","/krs/644")</f>
        <v>/krs/644</v>
      </c>
      <c r="B368">
        <v>644</v>
      </c>
      <c r="C368" t="s">
        <v>484</v>
      </c>
      <c r="D368" t="s">
        <v>310</v>
      </c>
      <c r="E368" t="s">
        <v>68</v>
      </c>
      <c r="F368" t="s">
        <v>485</v>
      </c>
      <c r="G368" s="1">
        <v>43236.669004629628</v>
      </c>
      <c r="H368" t="s">
        <v>486</v>
      </c>
      <c r="I368" t="s">
        <v>51</v>
      </c>
      <c r="J368" t="s">
        <v>487</v>
      </c>
      <c r="K368" s="3">
        <v>728</v>
      </c>
      <c r="L368" s="3">
        <v>208</v>
      </c>
      <c r="M368" s="3">
        <v>936</v>
      </c>
      <c r="N368" s="4">
        <v>0.78</v>
      </c>
      <c r="O368" s="3">
        <v>52</v>
      </c>
      <c r="P368" s="3"/>
      <c r="Q368" s="3">
        <v>38</v>
      </c>
      <c r="R368" s="3">
        <v>50</v>
      </c>
      <c r="S368" s="5">
        <v>4.0999999999999996</v>
      </c>
      <c r="T368" s="5">
        <v>3.9</v>
      </c>
      <c r="U368" s="4">
        <v>0.81</v>
      </c>
      <c r="V368" s="4">
        <v>0.78</v>
      </c>
      <c r="W368" s="4">
        <v>0.92</v>
      </c>
      <c r="X368" s="4">
        <v>0</v>
      </c>
      <c r="Y368" s="4">
        <v>0.76</v>
      </c>
      <c r="Z368" s="4">
        <v>0.22</v>
      </c>
      <c r="AA368" s="3">
        <v>0</v>
      </c>
      <c r="AB368" s="3">
        <v>0</v>
      </c>
      <c r="AC368" s="5">
        <v>0</v>
      </c>
      <c r="AD368" s="4">
        <v>0</v>
      </c>
      <c r="AE368" s="4">
        <v>0</v>
      </c>
      <c r="AF368" s="4">
        <v>0</v>
      </c>
      <c r="AG368" s="4">
        <v>1</v>
      </c>
      <c r="AH368" s="4">
        <v>0.78</v>
      </c>
      <c r="AI368" s="4">
        <v>0</v>
      </c>
      <c r="AJ368" t="s">
        <v>72</v>
      </c>
      <c r="AK368" t="s">
        <v>62</v>
      </c>
      <c r="AL368" t="s">
        <v>62</v>
      </c>
      <c r="AM368" t="s">
        <v>63</v>
      </c>
      <c r="AN368" t="s">
        <v>64</v>
      </c>
      <c r="AO368" t="s">
        <v>79</v>
      </c>
      <c r="AP368" t="s">
        <v>75</v>
      </c>
    </row>
    <row r="369" spans="1:42" x14ac:dyDescent="0.25">
      <c r="A369" t="str">
        <f>HYPERLINK("HTTP://10.0.1.74/krs/645/detail","/krs/645")</f>
        <v>/krs/645</v>
      </c>
      <c r="B369">
        <v>645</v>
      </c>
      <c r="C369" t="s">
        <v>488</v>
      </c>
      <c r="D369" t="s">
        <v>435</v>
      </c>
      <c r="E369" t="s">
        <v>68</v>
      </c>
      <c r="F369" t="s">
        <v>485</v>
      </c>
      <c r="G369" s="1">
        <v>43214</v>
      </c>
      <c r="H369" t="s">
        <v>486</v>
      </c>
      <c r="I369" t="s">
        <v>51</v>
      </c>
      <c r="J369" t="s">
        <v>489</v>
      </c>
      <c r="K369" s="3">
        <v>729</v>
      </c>
      <c r="L369" s="3">
        <v>207</v>
      </c>
      <c r="M369" s="3">
        <v>936</v>
      </c>
      <c r="N369" s="4">
        <v>0.78</v>
      </c>
      <c r="O369" s="3">
        <v>52</v>
      </c>
      <c r="P369" s="3"/>
      <c r="Q369" s="3">
        <v>1</v>
      </c>
      <c r="R369" s="3">
        <v>52</v>
      </c>
      <c r="S369" s="5">
        <v>3.9</v>
      </c>
      <c r="T369" s="5">
        <v>1.1000000000000001</v>
      </c>
      <c r="U369" s="4">
        <v>0.21</v>
      </c>
      <c r="V369" s="4">
        <v>0.78</v>
      </c>
      <c r="W369" s="4">
        <v>0.02</v>
      </c>
      <c r="X369" s="4">
        <v>0</v>
      </c>
      <c r="Y369" s="4">
        <v>0.02</v>
      </c>
      <c r="Z369" s="4">
        <v>0.22</v>
      </c>
      <c r="AA369" s="3">
        <v>0</v>
      </c>
      <c r="AB369" s="3">
        <v>0</v>
      </c>
      <c r="AC369" s="5">
        <v>0</v>
      </c>
      <c r="AD369" s="4">
        <v>0</v>
      </c>
      <c r="AE369" s="4">
        <v>0</v>
      </c>
      <c r="AF369" s="4">
        <v>0</v>
      </c>
      <c r="AG369" s="4">
        <v>1</v>
      </c>
      <c r="AH369" s="4">
        <v>0.8</v>
      </c>
      <c r="AI369" s="4">
        <v>0.71</v>
      </c>
      <c r="AJ369" t="s">
        <v>60</v>
      </c>
      <c r="AK369" t="s">
        <v>62</v>
      </c>
      <c r="AL369" t="s">
        <v>86</v>
      </c>
      <c r="AM369" t="s">
        <v>63</v>
      </c>
      <c r="AN369" t="s">
        <v>97</v>
      </c>
      <c r="AO369" t="s">
        <v>79</v>
      </c>
      <c r="AP369" t="s">
        <v>75</v>
      </c>
    </row>
    <row r="370" spans="1:42" x14ac:dyDescent="0.25">
      <c r="A370" t="str">
        <f>HYPERLINK("HTTP://10.0.1.74/krs/646/detail","/krs/646")</f>
        <v>/krs/646</v>
      </c>
      <c r="B370">
        <v>646</v>
      </c>
      <c r="C370" t="s">
        <v>490</v>
      </c>
      <c r="D370" t="s">
        <v>435</v>
      </c>
      <c r="E370" t="s">
        <v>68</v>
      </c>
      <c r="F370" t="s">
        <v>491</v>
      </c>
      <c r="G370" s="1">
        <v>43214</v>
      </c>
      <c r="H370" t="s">
        <v>492</v>
      </c>
      <c r="I370" t="s">
        <v>51</v>
      </c>
      <c r="J370" t="s">
        <v>493</v>
      </c>
      <c r="K370" s="3">
        <v>789</v>
      </c>
      <c r="L370" s="3">
        <v>129</v>
      </c>
      <c r="M370" s="3">
        <v>918</v>
      </c>
      <c r="N370" s="4">
        <v>0.86</v>
      </c>
      <c r="O370" s="3">
        <v>51</v>
      </c>
      <c r="P370" s="3"/>
      <c r="Q370" s="3">
        <v>46</v>
      </c>
      <c r="R370" s="3">
        <v>51</v>
      </c>
      <c r="S370" s="5">
        <v>4.3</v>
      </c>
      <c r="T370" s="5">
        <v>4.3</v>
      </c>
      <c r="U370" s="4">
        <v>0.85</v>
      </c>
      <c r="V370" s="4">
        <v>0.86</v>
      </c>
      <c r="W370" s="4">
        <v>1</v>
      </c>
      <c r="X370" s="4">
        <v>0</v>
      </c>
      <c r="Y370" s="4">
        <v>0.9</v>
      </c>
      <c r="Z370" s="4">
        <v>0.14000000000000001</v>
      </c>
      <c r="AA370" s="3">
        <v>0</v>
      </c>
      <c r="AB370" s="3">
        <v>0</v>
      </c>
      <c r="AC370" s="5">
        <v>0</v>
      </c>
      <c r="AD370" s="4">
        <v>0</v>
      </c>
      <c r="AE370" s="4">
        <v>0</v>
      </c>
      <c r="AF370" s="4">
        <v>0</v>
      </c>
      <c r="AG370" s="4">
        <v>1</v>
      </c>
      <c r="AH370" s="4">
        <v>0.89</v>
      </c>
      <c r="AI370" s="4">
        <v>0.77</v>
      </c>
      <c r="AJ370" t="s">
        <v>72</v>
      </c>
      <c r="AK370" t="s">
        <v>62</v>
      </c>
      <c r="AL370" t="s">
        <v>62</v>
      </c>
      <c r="AM370" t="s">
        <v>63</v>
      </c>
      <c r="AN370" t="s">
        <v>64</v>
      </c>
      <c r="AO370" t="s">
        <v>79</v>
      </c>
      <c r="AP370" t="s">
        <v>75</v>
      </c>
    </row>
    <row r="371" spans="1:42" x14ac:dyDescent="0.25">
      <c r="A371" t="str">
        <f>HYPERLINK("HTTP://10.0.1.74/krs/647/detail","/krs/647")</f>
        <v>/krs/647</v>
      </c>
      <c r="B371">
        <v>647</v>
      </c>
      <c r="C371" t="s">
        <v>494</v>
      </c>
      <c r="D371" t="s">
        <v>310</v>
      </c>
      <c r="E371" t="s">
        <v>68</v>
      </c>
      <c r="F371" t="s">
        <v>491</v>
      </c>
      <c r="G371" s="1">
        <v>43236.984027777777</v>
      </c>
      <c r="H371" t="s">
        <v>492</v>
      </c>
      <c r="I371" t="s">
        <v>51</v>
      </c>
      <c r="J371" t="s">
        <v>495</v>
      </c>
      <c r="K371" s="3">
        <v>768</v>
      </c>
      <c r="L371" s="3">
        <v>150</v>
      </c>
      <c r="M371" s="3">
        <v>918</v>
      </c>
      <c r="N371" s="4">
        <v>0.84</v>
      </c>
      <c r="O371" s="3">
        <v>51</v>
      </c>
      <c r="P371" s="3"/>
      <c r="Q371" s="3">
        <v>45</v>
      </c>
      <c r="R371" s="3">
        <v>50</v>
      </c>
      <c r="S371" s="5">
        <v>4.2</v>
      </c>
      <c r="T371" s="5">
        <v>4.2</v>
      </c>
      <c r="U371" s="4">
        <v>0.86</v>
      </c>
      <c r="V371" s="4">
        <v>0.84</v>
      </c>
      <c r="W371" s="4">
        <v>0.96</v>
      </c>
      <c r="X371" s="4">
        <v>0</v>
      </c>
      <c r="Y371" s="4">
        <v>0.9</v>
      </c>
      <c r="Z371" s="4">
        <v>0.16</v>
      </c>
      <c r="AA371" s="3">
        <v>0</v>
      </c>
      <c r="AB371" s="3">
        <v>0</v>
      </c>
      <c r="AC371" s="5">
        <v>0</v>
      </c>
      <c r="AD371" s="4">
        <v>0</v>
      </c>
      <c r="AE371" s="4">
        <v>0</v>
      </c>
      <c r="AF371" s="4">
        <v>0</v>
      </c>
      <c r="AG371" s="4">
        <v>1</v>
      </c>
      <c r="AH371" s="4">
        <v>0.82</v>
      </c>
      <c r="AI371" s="4">
        <v>0</v>
      </c>
      <c r="AJ371" t="s">
        <v>72</v>
      </c>
      <c r="AK371" t="s">
        <v>62</v>
      </c>
      <c r="AL371" t="s">
        <v>62</v>
      </c>
      <c r="AM371" t="s">
        <v>63</v>
      </c>
      <c r="AN371" t="s">
        <v>64</v>
      </c>
      <c r="AO371" t="s">
        <v>79</v>
      </c>
      <c r="AP371" t="s">
        <v>75</v>
      </c>
    </row>
    <row r="372" spans="1:42" x14ac:dyDescent="0.25">
      <c r="A372" t="str">
        <f>HYPERLINK("HTTP://10.0.1.74/krs/648/detail","/krs/648")</f>
        <v>/krs/648</v>
      </c>
      <c r="B372">
        <v>648</v>
      </c>
      <c r="C372" t="s">
        <v>496</v>
      </c>
      <c r="D372" t="s">
        <v>310</v>
      </c>
      <c r="E372" t="s">
        <v>68</v>
      </c>
      <c r="F372" t="s">
        <v>497</v>
      </c>
      <c r="G372" s="1">
        <v>43236</v>
      </c>
      <c r="H372" t="s">
        <v>498</v>
      </c>
      <c r="I372" t="s">
        <v>51</v>
      </c>
      <c r="K372" s="3">
        <v>386</v>
      </c>
      <c r="L372" s="3">
        <v>46</v>
      </c>
      <c r="M372" s="3">
        <v>432</v>
      </c>
      <c r="N372" s="4">
        <v>0.89</v>
      </c>
      <c r="O372" s="3">
        <v>27</v>
      </c>
      <c r="P372" s="3"/>
      <c r="Q372" s="3">
        <v>25</v>
      </c>
      <c r="R372" s="3">
        <v>27</v>
      </c>
      <c r="S372" s="5">
        <v>4.5</v>
      </c>
      <c r="T372" s="5">
        <v>4.5</v>
      </c>
      <c r="U372" s="4">
        <v>0.9</v>
      </c>
      <c r="V372" s="4">
        <v>0.89</v>
      </c>
      <c r="W372" s="4">
        <v>1</v>
      </c>
      <c r="X372" s="4">
        <v>0</v>
      </c>
      <c r="Y372" s="4">
        <v>0.93</v>
      </c>
      <c r="Z372" s="4">
        <v>0.11</v>
      </c>
      <c r="AA372" s="3">
        <v>0</v>
      </c>
      <c r="AB372" s="3">
        <v>0</v>
      </c>
      <c r="AC372" s="5">
        <v>0</v>
      </c>
      <c r="AD372" s="4">
        <v>0</v>
      </c>
      <c r="AE372" s="4">
        <v>0</v>
      </c>
      <c r="AF372" s="4">
        <v>0</v>
      </c>
      <c r="AG372" s="4">
        <v>1</v>
      </c>
      <c r="AH372" s="4">
        <v>0.89</v>
      </c>
      <c r="AI372" s="4">
        <v>0</v>
      </c>
      <c r="AJ372" t="s">
        <v>72</v>
      </c>
      <c r="AK372" t="s">
        <v>62</v>
      </c>
      <c r="AL372" t="s">
        <v>62</v>
      </c>
      <c r="AM372" t="s">
        <v>63</v>
      </c>
      <c r="AN372" t="s">
        <v>64</v>
      </c>
      <c r="AO372" t="s">
        <v>79</v>
      </c>
      <c r="AP372" t="s">
        <v>75</v>
      </c>
    </row>
    <row r="373" spans="1:42" x14ac:dyDescent="0.25">
      <c r="A373" t="str">
        <f>HYPERLINK("HTTP://10.0.1.74/krs/649/detail","/krs/649")</f>
        <v>/krs/649</v>
      </c>
      <c r="B373">
        <v>649</v>
      </c>
      <c r="C373" t="s">
        <v>499</v>
      </c>
      <c r="D373" t="s">
        <v>310</v>
      </c>
      <c r="E373" t="s">
        <v>68</v>
      </c>
      <c r="F373" t="s">
        <v>453</v>
      </c>
      <c r="G373" s="1">
        <v>43236</v>
      </c>
      <c r="H373" t="s">
        <v>454</v>
      </c>
      <c r="I373" t="s">
        <v>51</v>
      </c>
      <c r="J373" t="s">
        <v>298</v>
      </c>
      <c r="K373" s="3">
        <v>432</v>
      </c>
      <c r="L373" s="3">
        <v>108</v>
      </c>
      <c r="M373" s="3">
        <v>540</v>
      </c>
      <c r="N373" s="4">
        <v>0.8</v>
      </c>
      <c r="O373" s="3">
        <v>27</v>
      </c>
      <c r="P373" s="3"/>
      <c r="Q373" s="3">
        <v>22</v>
      </c>
      <c r="R373" s="3">
        <v>27</v>
      </c>
      <c r="S373" s="5">
        <v>4.2</v>
      </c>
      <c r="T373" s="5">
        <v>4</v>
      </c>
      <c r="U373" s="4">
        <v>0.81</v>
      </c>
      <c r="V373" s="4">
        <v>0.8</v>
      </c>
      <c r="W373" s="4">
        <v>0.93</v>
      </c>
      <c r="X373" s="4">
        <v>0</v>
      </c>
      <c r="Y373" s="4">
        <v>0.81</v>
      </c>
      <c r="Z373" s="4">
        <v>0.2</v>
      </c>
      <c r="AA373" s="3">
        <v>0</v>
      </c>
      <c r="AB373" s="3">
        <v>0</v>
      </c>
      <c r="AC373" s="5">
        <v>0</v>
      </c>
      <c r="AD373" s="4">
        <v>0</v>
      </c>
      <c r="AE373" s="4">
        <v>0</v>
      </c>
      <c r="AF373" s="4">
        <v>0</v>
      </c>
      <c r="AG373" s="4">
        <v>1</v>
      </c>
      <c r="AH373" s="4">
        <v>0.81</v>
      </c>
      <c r="AI373" s="4">
        <v>0</v>
      </c>
      <c r="AJ373" t="s">
        <v>72</v>
      </c>
      <c r="AK373" t="s">
        <v>62</v>
      </c>
      <c r="AL373" t="s">
        <v>62</v>
      </c>
      <c r="AM373" t="s">
        <v>63</v>
      </c>
      <c r="AN373" t="s">
        <v>64</v>
      </c>
      <c r="AO373" t="s">
        <v>79</v>
      </c>
      <c r="AP373" t="s">
        <v>75</v>
      </c>
    </row>
    <row r="374" spans="1:42" x14ac:dyDescent="0.25">
      <c r="A374" t="str">
        <f>HYPERLINK("HTTP://10.0.1.74/krs/653/detail","/krs/653")</f>
        <v>/krs/653</v>
      </c>
      <c r="B374">
        <v>653</v>
      </c>
      <c r="C374" t="s">
        <v>500</v>
      </c>
      <c r="D374" t="s">
        <v>310</v>
      </c>
      <c r="E374" t="s">
        <v>68</v>
      </c>
      <c r="F374" t="s">
        <v>501</v>
      </c>
      <c r="G374" s="1">
        <v>43236</v>
      </c>
      <c r="H374" t="s">
        <v>486</v>
      </c>
      <c r="I374" t="s">
        <v>51</v>
      </c>
      <c r="J374" t="s">
        <v>502</v>
      </c>
      <c r="K374" s="3">
        <v>676</v>
      </c>
      <c r="L374" s="3">
        <v>108</v>
      </c>
      <c r="M374" s="3">
        <v>784</v>
      </c>
      <c r="N374" s="4">
        <v>0.86</v>
      </c>
      <c r="O374" s="3">
        <v>49</v>
      </c>
      <c r="P374" s="3"/>
      <c r="Q374" s="3">
        <v>44</v>
      </c>
      <c r="R374" s="3">
        <v>49</v>
      </c>
      <c r="S374" s="5">
        <v>4.3</v>
      </c>
      <c r="T374" s="5">
        <v>4.3</v>
      </c>
      <c r="U374" s="4">
        <v>0.86</v>
      </c>
      <c r="V374" s="4">
        <v>0.86</v>
      </c>
      <c r="W374" s="4">
        <v>1</v>
      </c>
      <c r="X374" s="4">
        <v>0</v>
      </c>
      <c r="Y374" s="4">
        <v>0.9</v>
      </c>
      <c r="Z374" s="4">
        <v>0.14000000000000001</v>
      </c>
      <c r="AA374" s="3">
        <v>0</v>
      </c>
      <c r="AB374" s="3">
        <v>0</v>
      </c>
      <c r="AC374" s="5">
        <v>0</v>
      </c>
      <c r="AD374" s="4">
        <v>0</v>
      </c>
      <c r="AE374" s="4">
        <v>0</v>
      </c>
      <c r="AF374" s="4">
        <v>0</v>
      </c>
      <c r="AG374" s="4">
        <v>1</v>
      </c>
      <c r="AH374" s="4">
        <v>0.85</v>
      </c>
      <c r="AI374" s="4">
        <v>0</v>
      </c>
      <c r="AJ374" t="s">
        <v>72</v>
      </c>
      <c r="AK374" t="s">
        <v>62</v>
      </c>
      <c r="AL374" t="s">
        <v>62</v>
      </c>
      <c r="AM374" t="s">
        <v>63</v>
      </c>
      <c r="AN374" t="s">
        <v>64</v>
      </c>
      <c r="AO374" t="s">
        <v>79</v>
      </c>
      <c r="AP374" t="s">
        <v>75</v>
      </c>
    </row>
    <row r="375" spans="1:42" x14ac:dyDescent="0.25">
      <c r="A375" t="str">
        <f>HYPERLINK("HTTP://10.0.1.74/krs/654/detail","/krs/654")</f>
        <v>/krs/654</v>
      </c>
      <c r="B375">
        <v>654</v>
      </c>
      <c r="C375" t="s">
        <v>503</v>
      </c>
      <c r="D375" t="s">
        <v>310</v>
      </c>
      <c r="E375" t="s">
        <v>68</v>
      </c>
      <c r="F375" t="s">
        <v>504</v>
      </c>
      <c r="G375" s="1">
        <v>43355</v>
      </c>
      <c r="H375" t="s">
        <v>492</v>
      </c>
      <c r="I375" t="s">
        <v>51</v>
      </c>
      <c r="J375" t="s">
        <v>505</v>
      </c>
      <c r="K375" s="3">
        <v>697</v>
      </c>
      <c r="L375" s="3">
        <v>87</v>
      </c>
      <c r="M375" s="3">
        <v>784</v>
      </c>
      <c r="N375" s="4">
        <v>0.89</v>
      </c>
      <c r="O375" s="3">
        <v>49</v>
      </c>
      <c r="P375" s="3"/>
      <c r="Q375" s="3">
        <v>45</v>
      </c>
      <c r="R375" s="3">
        <v>49</v>
      </c>
      <c r="S375" s="5">
        <v>4.4000000000000004</v>
      </c>
      <c r="T375" s="5">
        <v>4.4000000000000004</v>
      </c>
      <c r="U375" s="4">
        <v>0.88</v>
      </c>
      <c r="V375" s="4">
        <v>0.89</v>
      </c>
      <c r="W375" s="4">
        <v>0.96</v>
      </c>
      <c r="X375" s="4">
        <v>0</v>
      </c>
      <c r="Y375" s="4">
        <v>0.92</v>
      </c>
      <c r="Z375" s="4">
        <v>0.11</v>
      </c>
      <c r="AA375" s="3">
        <v>0</v>
      </c>
      <c r="AB375" s="3">
        <v>0</v>
      </c>
      <c r="AC375" s="5">
        <v>0</v>
      </c>
      <c r="AD375" s="4">
        <v>0</v>
      </c>
      <c r="AE375" s="4">
        <v>0</v>
      </c>
      <c r="AF375" s="4">
        <v>0</v>
      </c>
      <c r="AG375" s="4">
        <v>1</v>
      </c>
      <c r="AH375" s="4">
        <v>0.89</v>
      </c>
      <c r="AI375" s="4">
        <v>0</v>
      </c>
      <c r="AJ375" t="s">
        <v>72</v>
      </c>
      <c r="AK375" t="s">
        <v>62</v>
      </c>
      <c r="AL375" t="s">
        <v>62</v>
      </c>
      <c r="AM375" t="s">
        <v>63</v>
      </c>
      <c r="AN375" t="s">
        <v>64</v>
      </c>
      <c r="AO375" t="s">
        <v>79</v>
      </c>
      <c r="AP375" t="s">
        <v>75</v>
      </c>
    </row>
    <row r="376" spans="1:42" x14ac:dyDescent="0.25">
      <c r="A376" t="str">
        <f>HYPERLINK("HTTP://10.0.1.74/krs/656/detail","/krs/656")</f>
        <v>/krs/656</v>
      </c>
      <c r="B376">
        <v>656</v>
      </c>
      <c r="C376" t="s">
        <v>80</v>
      </c>
      <c r="D376" t="s">
        <v>81</v>
      </c>
      <c r="E376" t="s">
        <v>125</v>
      </c>
      <c r="F376" t="s">
        <v>126</v>
      </c>
      <c r="G376" s="1">
        <v>43200</v>
      </c>
      <c r="H376" t="s">
        <v>127</v>
      </c>
      <c r="I376" t="s">
        <v>51</v>
      </c>
      <c r="J376" t="s">
        <v>506</v>
      </c>
      <c r="K376" s="3">
        <v>614</v>
      </c>
      <c r="L376" s="3">
        <v>348</v>
      </c>
      <c r="M376" s="3">
        <v>962</v>
      </c>
      <c r="N376" s="4">
        <v>0.64</v>
      </c>
      <c r="O376" s="3">
        <v>74</v>
      </c>
      <c r="P376" s="3"/>
      <c r="Q376" s="3">
        <v>35</v>
      </c>
      <c r="R376" s="3">
        <v>68</v>
      </c>
      <c r="S376" s="5">
        <v>3.6</v>
      </c>
      <c r="T376" s="5">
        <v>3.2</v>
      </c>
      <c r="U376" s="4">
        <v>0.7</v>
      </c>
      <c r="V376" s="4">
        <v>0.64</v>
      </c>
      <c r="W376" s="4">
        <v>0.76</v>
      </c>
      <c r="X376" s="4">
        <v>0.77</v>
      </c>
      <c r="Y376" s="4">
        <v>0.51</v>
      </c>
      <c r="Z376" s="4">
        <v>0.36</v>
      </c>
      <c r="AA376" s="3">
        <v>47</v>
      </c>
      <c r="AB376" s="3">
        <v>33</v>
      </c>
      <c r="AC376" s="5">
        <v>4.2</v>
      </c>
      <c r="AD376" s="4">
        <v>1</v>
      </c>
      <c r="AE376" s="4">
        <v>0.83</v>
      </c>
      <c r="AF376" s="4">
        <v>0.7</v>
      </c>
      <c r="AG376" s="4">
        <v>0.17</v>
      </c>
      <c r="AH376" s="4">
        <v>0.71</v>
      </c>
      <c r="AI376" s="4">
        <v>0.55000000000000004</v>
      </c>
      <c r="AJ376" t="s">
        <v>72</v>
      </c>
      <c r="AK376" t="s">
        <v>61</v>
      </c>
      <c r="AL376" t="s">
        <v>62</v>
      </c>
      <c r="AM376" t="s">
        <v>73</v>
      </c>
      <c r="AN376" t="s">
        <v>64</v>
      </c>
      <c r="AO376" t="s">
        <v>74</v>
      </c>
      <c r="AP376" t="s">
        <v>75</v>
      </c>
    </row>
    <row r="377" spans="1:42" x14ac:dyDescent="0.25">
      <c r="A377" t="str">
        <f>HYPERLINK("HTTP://10.0.1.74/krs/657/detail","/krs/657")</f>
        <v>/krs/657</v>
      </c>
      <c r="B377">
        <v>657</v>
      </c>
      <c r="C377" t="s">
        <v>507</v>
      </c>
      <c r="D377" t="s">
        <v>310</v>
      </c>
      <c r="E377" t="s">
        <v>98</v>
      </c>
      <c r="F377" t="s">
        <v>508</v>
      </c>
      <c r="G377" s="1">
        <v>43237</v>
      </c>
      <c r="H377" t="s">
        <v>190</v>
      </c>
      <c r="I377" t="s">
        <v>57</v>
      </c>
      <c r="J377" t="s">
        <v>509</v>
      </c>
      <c r="K377" s="3">
        <v>496</v>
      </c>
      <c r="L377" s="3">
        <v>134</v>
      </c>
      <c r="M377" s="3">
        <v>630</v>
      </c>
      <c r="N377" s="4">
        <v>0.79</v>
      </c>
      <c r="O377" s="3">
        <v>30</v>
      </c>
      <c r="P377" s="3"/>
      <c r="Q377" s="3">
        <v>23</v>
      </c>
      <c r="R377" s="3">
        <v>30</v>
      </c>
      <c r="S377" s="5">
        <v>4</v>
      </c>
      <c r="T377" s="5">
        <v>3.9</v>
      </c>
      <c r="U377" s="4">
        <v>0.78</v>
      </c>
      <c r="V377" s="4">
        <v>0.79</v>
      </c>
      <c r="W377" s="4">
        <v>0.97</v>
      </c>
      <c r="X377" s="4">
        <v>0.94</v>
      </c>
      <c r="Y377" s="4">
        <v>0.77</v>
      </c>
      <c r="Z377" s="4">
        <v>0.21</v>
      </c>
      <c r="AA377" s="3">
        <v>16</v>
      </c>
      <c r="AB377" s="3">
        <v>11</v>
      </c>
      <c r="AC377" s="5">
        <v>4.2</v>
      </c>
      <c r="AD377" s="4">
        <v>1</v>
      </c>
      <c r="AE377" s="4">
        <v>0.84</v>
      </c>
      <c r="AF377" s="4">
        <v>0.69</v>
      </c>
      <c r="AG377" s="4">
        <v>0.16</v>
      </c>
      <c r="AH377" s="4">
        <v>0.72</v>
      </c>
      <c r="AI377" s="4">
        <v>0.92</v>
      </c>
      <c r="AJ377" t="s">
        <v>72</v>
      </c>
      <c r="AK377" t="s">
        <v>62</v>
      </c>
      <c r="AL377" t="s">
        <v>62</v>
      </c>
      <c r="AM377" t="s">
        <v>63</v>
      </c>
      <c r="AN377" t="s">
        <v>97</v>
      </c>
      <c r="AO377" t="s">
        <v>65</v>
      </c>
      <c r="AP377" t="s">
        <v>66</v>
      </c>
    </row>
    <row r="378" spans="1:42" x14ac:dyDescent="0.25">
      <c r="A378" t="str">
        <f>HYPERLINK("HTTP://10.0.1.74/krs/658/detail","/krs/658")</f>
        <v>/krs/658</v>
      </c>
      <c r="B378">
        <v>658</v>
      </c>
      <c r="C378" t="s">
        <v>510</v>
      </c>
      <c r="D378" t="s">
        <v>310</v>
      </c>
      <c r="E378" t="s">
        <v>98</v>
      </c>
      <c r="F378" t="s">
        <v>508</v>
      </c>
      <c r="G378" s="1">
        <v>43237</v>
      </c>
      <c r="H378" t="s">
        <v>100</v>
      </c>
      <c r="I378" t="s">
        <v>57</v>
      </c>
      <c r="J378" t="s">
        <v>511</v>
      </c>
      <c r="K378" s="3">
        <v>498</v>
      </c>
      <c r="L378" s="3">
        <v>132</v>
      </c>
      <c r="M378" s="3">
        <v>630</v>
      </c>
      <c r="N378" s="4">
        <v>0.79</v>
      </c>
      <c r="O378" s="3">
        <v>30</v>
      </c>
      <c r="P378" s="3"/>
      <c r="Q378" s="3">
        <v>23</v>
      </c>
      <c r="R378" s="3">
        <v>30</v>
      </c>
      <c r="S378" s="5">
        <v>4</v>
      </c>
      <c r="T378" s="5">
        <v>4</v>
      </c>
      <c r="U378" s="4">
        <v>0.79</v>
      </c>
      <c r="V378" s="4">
        <v>0.79</v>
      </c>
      <c r="W378" s="4">
        <v>1</v>
      </c>
      <c r="X378" s="4">
        <v>0.94</v>
      </c>
      <c r="Y378" s="4">
        <v>0.77</v>
      </c>
      <c r="Z378" s="4">
        <v>0.21</v>
      </c>
      <c r="AA378" s="3">
        <v>16</v>
      </c>
      <c r="AB378" s="3">
        <v>11</v>
      </c>
      <c r="AC378" s="5">
        <v>4.2</v>
      </c>
      <c r="AD378" s="4">
        <v>1</v>
      </c>
      <c r="AE378" s="4">
        <v>0.84</v>
      </c>
      <c r="AF378" s="4">
        <v>0.69</v>
      </c>
      <c r="AG378" s="4">
        <v>0.16</v>
      </c>
      <c r="AH378" s="4">
        <v>0.72</v>
      </c>
      <c r="AI378" s="4">
        <v>0.92</v>
      </c>
      <c r="AJ378" t="s">
        <v>72</v>
      </c>
      <c r="AK378" t="s">
        <v>62</v>
      </c>
      <c r="AL378" t="s">
        <v>62</v>
      </c>
      <c r="AM378" t="s">
        <v>63</v>
      </c>
      <c r="AN378" t="s">
        <v>97</v>
      </c>
      <c r="AO378" t="s">
        <v>65</v>
      </c>
      <c r="AP378" t="s">
        <v>66</v>
      </c>
    </row>
    <row r="379" spans="1:42" x14ac:dyDescent="0.25">
      <c r="A379" t="str">
        <f>HYPERLINK("HTTP://10.0.1.74/krs/659/detail","/krs/659")</f>
        <v>/krs/659</v>
      </c>
      <c r="B379">
        <v>659</v>
      </c>
      <c r="C379" t="s">
        <v>512</v>
      </c>
      <c r="D379" t="s">
        <v>435</v>
      </c>
      <c r="E379" t="s">
        <v>54</v>
      </c>
      <c r="F379" t="s">
        <v>513</v>
      </c>
      <c r="G379" s="1">
        <v>43201</v>
      </c>
      <c r="H379" t="s">
        <v>514</v>
      </c>
      <c r="I379" t="s">
        <v>51</v>
      </c>
      <c r="J379" t="s">
        <v>515</v>
      </c>
      <c r="K379" s="3">
        <v>1137</v>
      </c>
      <c r="L379" s="3">
        <v>267</v>
      </c>
      <c r="M379" s="3">
        <v>1404</v>
      </c>
      <c r="N379" s="4">
        <v>0.81</v>
      </c>
      <c r="O379" s="3">
        <v>54</v>
      </c>
      <c r="P379" s="3"/>
      <c r="Q379" s="3">
        <v>48</v>
      </c>
      <c r="R379" s="3">
        <v>54</v>
      </c>
      <c r="S379" s="5">
        <v>4.0999999999999996</v>
      </c>
      <c r="T379" s="5">
        <v>4</v>
      </c>
      <c r="U379" s="4">
        <v>0.8</v>
      </c>
      <c r="V379" s="4">
        <v>0.81</v>
      </c>
      <c r="W379" s="4">
        <v>0.98</v>
      </c>
      <c r="X379" s="4">
        <v>0</v>
      </c>
      <c r="Y379" s="4">
        <v>0.89</v>
      </c>
      <c r="Z379" s="4">
        <v>0.19</v>
      </c>
      <c r="AA379" s="3">
        <v>0</v>
      </c>
      <c r="AB379" s="3">
        <v>0</v>
      </c>
      <c r="AC379" s="5">
        <v>0</v>
      </c>
      <c r="AD379" s="4">
        <v>0</v>
      </c>
      <c r="AE379" s="4">
        <v>0</v>
      </c>
      <c r="AF379" s="4">
        <v>0</v>
      </c>
      <c r="AG379" s="4">
        <v>1</v>
      </c>
      <c r="AH379" s="4">
        <v>0.83</v>
      </c>
      <c r="AI379" s="4">
        <v>0</v>
      </c>
      <c r="AJ379" t="s">
        <v>72</v>
      </c>
      <c r="AK379" t="s">
        <v>62</v>
      </c>
      <c r="AL379" t="s">
        <v>62</v>
      </c>
      <c r="AM379" t="s">
        <v>63</v>
      </c>
      <c r="AN379" t="s">
        <v>64</v>
      </c>
      <c r="AO379" t="s">
        <v>79</v>
      </c>
      <c r="AP379" t="s">
        <v>75</v>
      </c>
    </row>
    <row r="380" spans="1:42" x14ac:dyDescent="0.25">
      <c r="A380" t="str">
        <f>HYPERLINK("HTTP://10.0.1.74/krs/661/detail","/krs/661")</f>
        <v>/krs/661</v>
      </c>
      <c r="B380">
        <v>661</v>
      </c>
      <c r="C380" t="s">
        <v>46</v>
      </c>
      <c r="D380" t="s">
        <v>228</v>
      </c>
      <c r="E380" t="s">
        <v>98</v>
      </c>
      <c r="F380" t="s">
        <v>49</v>
      </c>
      <c r="G380" s="1">
        <v>43237</v>
      </c>
      <c r="H380" t="s">
        <v>516</v>
      </c>
      <c r="I380" t="s">
        <v>51</v>
      </c>
      <c r="K380" s="3">
        <v>369</v>
      </c>
      <c r="L380" s="3">
        <v>191</v>
      </c>
      <c r="M380" s="3">
        <v>560</v>
      </c>
      <c r="N380" s="4">
        <v>0.66</v>
      </c>
      <c r="O380" s="3">
        <v>13</v>
      </c>
      <c r="P380" s="3"/>
      <c r="Q380" s="3">
        <v>8</v>
      </c>
      <c r="R380" s="3">
        <v>13</v>
      </c>
      <c r="S380" s="5">
        <v>3.5</v>
      </c>
      <c r="T380" s="5">
        <v>3.7</v>
      </c>
      <c r="U380" s="4">
        <v>0.74</v>
      </c>
      <c r="V380" s="4">
        <v>0.66</v>
      </c>
      <c r="W380" s="4">
        <v>0.85</v>
      </c>
      <c r="X380" s="4">
        <v>0</v>
      </c>
      <c r="Y380" s="4">
        <v>0.62</v>
      </c>
      <c r="Z380" s="4">
        <v>0.34</v>
      </c>
      <c r="AA380" s="3">
        <v>0</v>
      </c>
      <c r="AB380" s="3">
        <v>0</v>
      </c>
      <c r="AC380" s="5">
        <v>0</v>
      </c>
      <c r="AD380" s="4">
        <v>0</v>
      </c>
      <c r="AE380" s="4">
        <v>0</v>
      </c>
      <c r="AF380" s="4">
        <v>0</v>
      </c>
      <c r="AG380" s="4">
        <v>1</v>
      </c>
      <c r="AH380" s="4">
        <v>0.65</v>
      </c>
      <c r="AI380" s="4">
        <v>0.67</v>
      </c>
      <c r="AJ380" t="s">
        <v>72</v>
      </c>
      <c r="AK380" t="s">
        <v>61</v>
      </c>
      <c r="AL380" t="s">
        <v>62</v>
      </c>
      <c r="AM380" t="s">
        <v>63</v>
      </c>
      <c r="AN380" t="s">
        <v>64</v>
      </c>
      <c r="AO380" t="s">
        <v>79</v>
      </c>
      <c r="AP380" t="s">
        <v>75</v>
      </c>
    </row>
    <row r="381" spans="1:42" x14ac:dyDescent="0.25">
      <c r="A381" t="str">
        <f>HYPERLINK("HTTP://10.0.1.74/krs/662/detail","/krs/662")</f>
        <v>/krs/662</v>
      </c>
      <c r="B381">
        <v>662</v>
      </c>
      <c r="C381" t="s">
        <v>517</v>
      </c>
      <c r="D381" t="s">
        <v>228</v>
      </c>
      <c r="E381" t="s">
        <v>98</v>
      </c>
      <c r="F381" t="s">
        <v>458</v>
      </c>
      <c r="G381" s="1">
        <v>43238</v>
      </c>
      <c r="H381" t="s">
        <v>518</v>
      </c>
      <c r="I381" t="s">
        <v>51</v>
      </c>
      <c r="K381" s="3">
        <v>538</v>
      </c>
      <c r="L381" s="3">
        <v>294</v>
      </c>
      <c r="M381" s="3">
        <v>832</v>
      </c>
      <c r="N381" s="4">
        <v>0.65</v>
      </c>
      <c r="O381" s="3">
        <v>26</v>
      </c>
      <c r="P381" s="3"/>
      <c r="Q381" s="3">
        <v>10</v>
      </c>
      <c r="R381" s="3">
        <v>26</v>
      </c>
      <c r="S381" s="5">
        <v>3.3</v>
      </c>
      <c r="T381" s="5">
        <v>3.3</v>
      </c>
      <c r="U381" s="4">
        <v>0.65</v>
      </c>
      <c r="V381" s="4">
        <v>0.65</v>
      </c>
      <c r="W381" s="4">
        <v>0.81</v>
      </c>
      <c r="X381" s="4">
        <v>0</v>
      </c>
      <c r="Y381" s="4">
        <v>0.38</v>
      </c>
      <c r="Z381" s="4">
        <v>0.35</v>
      </c>
      <c r="AA381" s="3">
        <v>0</v>
      </c>
      <c r="AB381" s="3">
        <v>0</v>
      </c>
      <c r="AC381" s="5">
        <v>0</v>
      </c>
      <c r="AD381" s="4">
        <v>0</v>
      </c>
      <c r="AE381" s="4">
        <v>0</v>
      </c>
      <c r="AF381" s="4">
        <v>0</v>
      </c>
      <c r="AG381" s="4">
        <v>1</v>
      </c>
      <c r="AH381" s="4">
        <v>0.75</v>
      </c>
      <c r="AI381" s="4">
        <v>0.54</v>
      </c>
      <c r="AJ381" t="s">
        <v>72</v>
      </c>
      <c r="AK381" t="s">
        <v>61</v>
      </c>
      <c r="AL381" t="s">
        <v>62</v>
      </c>
      <c r="AM381" t="s">
        <v>63</v>
      </c>
      <c r="AN381" t="s">
        <v>64</v>
      </c>
      <c r="AO381" t="s">
        <v>79</v>
      </c>
      <c r="AP381" t="s">
        <v>75</v>
      </c>
    </row>
    <row r="382" spans="1:42" x14ac:dyDescent="0.25">
      <c r="A382" t="str">
        <f>HYPERLINK("HTTP://10.0.1.74/krs/663/detail","/krs/663")</f>
        <v>/krs/663</v>
      </c>
      <c r="B382">
        <v>663</v>
      </c>
      <c r="C382" t="s">
        <v>519</v>
      </c>
      <c r="D382" t="s">
        <v>228</v>
      </c>
      <c r="E382" t="s">
        <v>98</v>
      </c>
      <c r="F382" t="s">
        <v>520</v>
      </c>
      <c r="G382" s="1">
        <v>43237</v>
      </c>
      <c r="H382" t="s">
        <v>518</v>
      </c>
      <c r="I382" t="s">
        <v>51</v>
      </c>
      <c r="K382" s="3">
        <v>1435</v>
      </c>
      <c r="L382" s="3">
        <v>525</v>
      </c>
      <c r="M382" s="3">
        <v>1960</v>
      </c>
      <c r="N382" s="4">
        <v>0.73</v>
      </c>
      <c r="O382" s="3">
        <v>49</v>
      </c>
      <c r="P382" s="3"/>
      <c r="Q382" s="3">
        <v>33</v>
      </c>
      <c r="R382" s="3">
        <v>49</v>
      </c>
      <c r="S382" s="5">
        <v>3.8</v>
      </c>
      <c r="T382" s="5">
        <v>3.8</v>
      </c>
      <c r="U382" s="4">
        <v>0.76</v>
      </c>
      <c r="V382" s="4">
        <v>0.73</v>
      </c>
      <c r="W382" s="4">
        <v>0.98</v>
      </c>
      <c r="X382" s="4">
        <v>0</v>
      </c>
      <c r="Y382" s="4">
        <v>0.67</v>
      </c>
      <c r="Z382" s="4">
        <v>0.27</v>
      </c>
      <c r="AA382" s="3">
        <v>0</v>
      </c>
      <c r="AB382" s="3">
        <v>0</v>
      </c>
      <c r="AC382" s="5">
        <v>0</v>
      </c>
      <c r="AD382" s="4">
        <v>0</v>
      </c>
      <c r="AE382" s="4">
        <v>0</v>
      </c>
      <c r="AF382" s="4">
        <v>0</v>
      </c>
      <c r="AG382" s="4">
        <v>1</v>
      </c>
      <c r="AH382" s="4">
        <v>0.73</v>
      </c>
      <c r="AI382" s="4">
        <v>0.74</v>
      </c>
      <c r="AJ382" t="s">
        <v>72</v>
      </c>
      <c r="AK382" t="s">
        <v>62</v>
      </c>
      <c r="AL382" t="s">
        <v>62</v>
      </c>
      <c r="AM382" t="s">
        <v>63</v>
      </c>
      <c r="AN382" t="s">
        <v>64</v>
      </c>
      <c r="AO382" t="s">
        <v>79</v>
      </c>
      <c r="AP382" t="s">
        <v>75</v>
      </c>
    </row>
    <row r="383" spans="1:42" x14ac:dyDescent="0.25">
      <c r="A383" t="str">
        <f>HYPERLINK("HTTP://10.0.1.74/krs/664/detail","/krs/664")</f>
        <v>/krs/664</v>
      </c>
      <c r="B383">
        <v>664</v>
      </c>
      <c r="C383" t="s">
        <v>53</v>
      </c>
      <c r="D383" t="s">
        <v>228</v>
      </c>
      <c r="E383" t="s">
        <v>98</v>
      </c>
      <c r="F383" t="s">
        <v>521</v>
      </c>
      <c r="G383" s="1">
        <v>43237</v>
      </c>
      <c r="H383" t="s">
        <v>522</v>
      </c>
      <c r="I383" t="s">
        <v>51</v>
      </c>
      <c r="K383" s="3">
        <v>782</v>
      </c>
      <c r="L383" s="3">
        <v>218</v>
      </c>
      <c r="M383" s="3">
        <v>1000</v>
      </c>
      <c r="N383" s="4">
        <v>0.78</v>
      </c>
      <c r="O383" s="3">
        <v>25</v>
      </c>
      <c r="P383" s="3"/>
      <c r="Q383" s="3">
        <v>22</v>
      </c>
      <c r="R383" s="3">
        <v>25</v>
      </c>
      <c r="S383" s="5">
        <v>4.0999999999999996</v>
      </c>
      <c r="T383" s="5">
        <v>4.0999999999999996</v>
      </c>
      <c r="U383" s="4">
        <v>0.82</v>
      </c>
      <c r="V383" s="4">
        <v>0.78</v>
      </c>
      <c r="W383" s="4">
        <v>1</v>
      </c>
      <c r="X383" s="4">
        <v>0</v>
      </c>
      <c r="Y383" s="4">
        <v>0.88</v>
      </c>
      <c r="Z383" s="4">
        <v>0.22</v>
      </c>
      <c r="AA383" s="3">
        <v>0</v>
      </c>
      <c r="AB383" s="3">
        <v>0</v>
      </c>
      <c r="AC383" s="5">
        <v>0</v>
      </c>
      <c r="AD383" s="4">
        <v>0</v>
      </c>
      <c r="AE383" s="4">
        <v>0</v>
      </c>
      <c r="AF383" s="4">
        <v>0</v>
      </c>
      <c r="AG383" s="4">
        <v>1</v>
      </c>
      <c r="AH383" s="4">
        <v>0.79</v>
      </c>
      <c r="AI383" s="4">
        <v>0.7</v>
      </c>
      <c r="AJ383" t="s">
        <v>72</v>
      </c>
      <c r="AK383" t="s">
        <v>62</v>
      </c>
      <c r="AL383" t="s">
        <v>62</v>
      </c>
      <c r="AM383" t="s">
        <v>63</v>
      </c>
      <c r="AN383" t="s">
        <v>64</v>
      </c>
      <c r="AO383" t="s">
        <v>79</v>
      </c>
      <c r="AP383" t="s">
        <v>75</v>
      </c>
    </row>
    <row r="384" spans="1:42" x14ac:dyDescent="0.25">
      <c r="A384" t="str">
        <f>HYPERLINK("HTTP://10.0.1.74/krs/666/detail","/krs/666")</f>
        <v>/krs/666</v>
      </c>
      <c r="B384">
        <v>666</v>
      </c>
      <c r="C384" t="s">
        <v>523</v>
      </c>
      <c r="D384" t="s">
        <v>310</v>
      </c>
      <c r="E384" t="s">
        <v>98</v>
      </c>
      <c r="F384" t="s">
        <v>524</v>
      </c>
      <c r="G384" s="1">
        <v>43241.884351851855</v>
      </c>
      <c r="H384" t="s">
        <v>146</v>
      </c>
      <c r="I384" t="s">
        <v>51</v>
      </c>
      <c r="J384" t="s">
        <v>52</v>
      </c>
      <c r="K384" s="3">
        <v>530</v>
      </c>
      <c r="L384" s="3">
        <v>114</v>
      </c>
      <c r="M384" s="3">
        <v>644</v>
      </c>
      <c r="N384" s="4">
        <v>0.82</v>
      </c>
      <c r="O384" s="3">
        <v>23</v>
      </c>
      <c r="P384" s="3"/>
      <c r="Q384" s="3">
        <v>22</v>
      </c>
      <c r="R384" s="3">
        <v>23</v>
      </c>
      <c r="S384" s="5">
        <v>4.0999999999999996</v>
      </c>
      <c r="T384" s="5">
        <v>4.3</v>
      </c>
      <c r="U384" s="4">
        <v>0.86</v>
      </c>
      <c r="V384" s="4">
        <v>0.82</v>
      </c>
      <c r="W384" s="4">
        <v>1</v>
      </c>
      <c r="X384" s="4">
        <v>0.92</v>
      </c>
      <c r="Y384" s="4">
        <v>0.96</v>
      </c>
      <c r="Z384" s="4">
        <v>0.18</v>
      </c>
      <c r="AA384" s="3">
        <v>10</v>
      </c>
      <c r="AB384" s="3">
        <v>9</v>
      </c>
      <c r="AC384" s="5">
        <v>4.4000000000000004</v>
      </c>
      <c r="AD384" s="4">
        <v>1</v>
      </c>
      <c r="AE384" s="4">
        <v>0.89</v>
      </c>
      <c r="AF384" s="4">
        <v>0.9</v>
      </c>
      <c r="AG384" s="4">
        <v>0.11</v>
      </c>
      <c r="AH384" s="4">
        <v>0.82</v>
      </c>
      <c r="AI384" s="4">
        <v>0.87</v>
      </c>
      <c r="AJ384" t="s">
        <v>72</v>
      </c>
      <c r="AK384" t="s">
        <v>62</v>
      </c>
      <c r="AL384" t="s">
        <v>62</v>
      </c>
      <c r="AM384" t="s">
        <v>104</v>
      </c>
      <c r="AN384" t="s">
        <v>97</v>
      </c>
      <c r="AO384" t="s">
        <v>65</v>
      </c>
      <c r="AP384" t="s">
        <v>66</v>
      </c>
    </row>
    <row r="385" spans="1:42" x14ac:dyDescent="0.25">
      <c r="A385" t="str">
        <f>HYPERLINK("HTTP://10.0.1.74/krs/667/detail","/krs/667")</f>
        <v>/krs/667</v>
      </c>
      <c r="B385">
        <v>667</v>
      </c>
      <c r="C385" t="s">
        <v>46</v>
      </c>
      <c r="D385" t="s">
        <v>228</v>
      </c>
      <c r="E385" t="s">
        <v>98</v>
      </c>
      <c r="F385" t="s">
        <v>525</v>
      </c>
      <c r="G385" s="1">
        <v>43238</v>
      </c>
      <c r="H385" t="s">
        <v>516</v>
      </c>
      <c r="I385" t="s">
        <v>51</v>
      </c>
      <c r="K385" s="3">
        <v>358</v>
      </c>
      <c r="L385" s="3">
        <v>162</v>
      </c>
      <c r="M385" s="3">
        <v>520</v>
      </c>
      <c r="N385" s="4">
        <v>0.69</v>
      </c>
      <c r="O385" s="3">
        <v>13</v>
      </c>
      <c r="P385" s="3"/>
      <c r="Q385" s="3">
        <v>7</v>
      </c>
      <c r="R385" s="3">
        <v>13</v>
      </c>
      <c r="S385" s="5">
        <v>3.4</v>
      </c>
      <c r="T385" s="5">
        <v>3.5</v>
      </c>
      <c r="U385" s="4">
        <v>0.71</v>
      </c>
      <c r="V385" s="4">
        <v>0.69</v>
      </c>
      <c r="W385" s="4">
        <v>0.92</v>
      </c>
      <c r="X385" s="4">
        <v>0</v>
      </c>
      <c r="Y385" s="4">
        <v>0.54</v>
      </c>
      <c r="Z385" s="4">
        <v>0.31</v>
      </c>
      <c r="AA385" s="3">
        <v>0</v>
      </c>
      <c r="AB385" s="3">
        <v>0</v>
      </c>
      <c r="AC385" s="5">
        <v>0</v>
      </c>
      <c r="AD385" s="4">
        <v>0</v>
      </c>
      <c r="AE385" s="4">
        <v>0</v>
      </c>
      <c r="AF385" s="4">
        <v>0</v>
      </c>
      <c r="AG385" s="4">
        <v>1</v>
      </c>
      <c r="AH385" s="4">
        <v>0.73</v>
      </c>
      <c r="AI385" s="4">
        <v>0.48</v>
      </c>
      <c r="AJ385" t="s">
        <v>72</v>
      </c>
      <c r="AK385" t="s">
        <v>61</v>
      </c>
      <c r="AL385" t="s">
        <v>62</v>
      </c>
      <c r="AM385" t="s">
        <v>63</v>
      </c>
      <c r="AN385" t="s">
        <v>64</v>
      </c>
      <c r="AO385" t="s">
        <v>79</v>
      </c>
      <c r="AP385" t="s">
        <v>75</v>
      </c>
    </row>
    <row r="386" spans="1:42" x14ac:dyDescent="0.25">
      <c r="A386" t="str">
        <f>HYPERLINK("HTTP://10.0.1.74/krs/669/detail","/krs/669")</f>
        <v>/krs/669</v>
      </c>
      <c r="B386">
        <v>669</v>
      </c>
      <c r="C386" t="s">
        <v>46</v>
      </c>
      <c r="D386" t="s">
        <v>228</v>
      </c>
      <c r="E386" t="s">
        <v>98</v>
      </c>
      <c r="F386" t="s">
        <v>526</v>
      </c>
      <c r="G386" s="1">
        <v>43237</v>
      </c>
      <c r="H386" t="s">
        <v>516</v>
      </c>
      <c r="I386" t="s">
        <v>51</v>
      </c>
      <c r="K386" s="3">
        <v>209</v>
      </c>
      <c r="L386" s="3">
        <v>559</v>
      </c>
      <c r="M386" s="3">
        <v>768</v>
      </c>
      <c r="N386" s="4">
        <v>0.27</v>
      </c>
      <c r="O386" s="3">
        <v>24</v>
      </c>
      <c r="P386" s="3"/>
      <c r="Q386" s="3">
        <v>4</v>
      </c>
      <c r="R386" s="3">
        <v>11</v>
      </c>
      <c r="S386" s="5">
        <v>2.9</v>
      </c>
      <c r="T386" s="5">
        <v>1.9</v>
      </c>
      <c r="U386" s="4">
        <v>0.84</v>
      </c>
      <c r="V386" s="4">
        <v>0.27</v>
      </c>
      <c r="W386" s="4">
        <v>-0.64</v>
      </c>
      <c r="X386" s="4">
        <v>0</v>
      </c>
      <c r="Y386" s="4">
        <v>0.36</v>
      </c>
      <c r="Z386" s="4">
        <v>0.73</v>
      </c>
      <c r="AA386" s="3">
        <v>0</v>
      </c>
      <c r="AB386" s="3">
        <v>0</v>
      </c>
      <c r="AC386" s="5">
        <v>0</v>
      </c>
      <c r="AD386" s="4">
        <v>0</v>
      </c>
      <c r="AE386" s="4">
        <v>0</v>
      </c>
      <c r="AF386" s="4">
        <v>0</v>
      </c>
      <c r="AG386" s="4">
        <v>1</v>
      </c>
      <c r="AH386" s="4">
        <v>0.31</v>
      </c>
      <c r="AI386" s="4">
        <v>0.24</v>
      </c>
      <c r="AJ386" t="s">
        <v>60</v>
      </c>
      <c r="AK386" t="s">
        <v>86</v>
      </c>
      <c r="AL386" t="s">
        <v>86</v>
      </c>
      <c r="AM386" t="s">
        <v>63</v>
      </c>
      <c r="AN386" t="s">
        <v>64</v>
      </c>
      <c r="AO386" t="s">
        <v>79</v>
      </c>
      <c r="AP386" t="s">
        <v>75</v>
      </c>
    </row>
    <row r="387" spans="1:42" x14ac:dyDescent="0.25">
      <c r="A387" t="str">
        <f>HYPERLINK("HTTP://10.0.1.74/krs/673/detail","/krs/673")</f>
        <v>/krs/673</v>
      </c>
      <c r="B387">
        <v>673</v>
      </c>
      <c r="C387" t="s">
        <v>46</v>
      </c>
      <c r="D387" t="s">
        <v>228</v>
      </c>
      <c r="E387" t="s">
        <v>54</v>
      </c>
      <c r="F387" t="s">
        <v>527</v>
      </c>
      <c r="G387" s="1">
        <v>43235</v>
      </c>
      <c r="H387" t="s">
        <v>528</v>
      </c>
      <c r="I387" t="s">
        <v>57</v>
      </c>
      <c r="K387" s="3">
        <v>1236</v>
      </c>
      <c r="L387" s="3">
        <v>612</v>
      </c>
      <c r="M387" s="3">
        <v>1848</v>
      </c>
      <c r="N387" s="4">
        <v>0.67</v>
      </c>
      <c r="O387" s="3">
        <v>77</v>
      </c>
      <c r="P387" s="3"/>
      <c r="Q387" s="3">
        <v>32</v>
      </c>
      <c r="R387" s="3">
        <v>77</v>
      </c>
      <c r="S387" s="5">
        <v>3.4</v>
      </c>
      <c r="T387" s="5">
        <v>3.5</v>
      </c>
      <c r="U387" s="4">
        <v>0.7</v>
      </c>
      <c r="V387" s="4">
        <v>0.67</v>
      </c>
      <c r="W387" s="4">
        <v>0.94</v>
      </c>
      <c r="X387" s="4">
        <v>0</v>
      </c>
      <c r="Y387" s="4">
        <v>0.42</v>
      </c>
      <c r="Z387" s="4">
        <v>0.33</v>
      </c>
      <c r="AA387" s="3">
        <v>0</v>
      </c>
      <c r="AB387" s="3">
        <v>0</v>
      </c>
      <c r="AC387" s="5">
        <v>0</v>
      </c>
      <c r="AD387" s="4">
        <v>0</v>
      </c>
      <c r="AE387" s="4">
        <v>0</v>
      </c>
      <c r="AF387" s="4">
        <v>0</v>
      </c>
      <c r="AG387" s="4">
        <v>1</v>
      </c>
      <c r="AH387" s="4">
        <v>0.68</v>
      </c>
      <c r="AI387" s="4">
        <v>0.54</v>
      </c>
      <c r="AJ387" t="s">
        <v>72</v>
      </c>
      <c r="AK387" t="s">
        <v>61</v>
      </c>
      <c r="AL387" t="s">
        <v>62</v>
      </c>
      <c r="AM387" t="s">
        <v>63</v>
      </c>
      <c r="AN387" t="s">
        <v>64</v>
      </c>
      <c r="AO387" t="s">
        <v>79</v>
      </c>
      <c r="AP387" t="s">
        <v>75</v>
      </c>
    </row>
    <row r="388" spans="1:42" x14ac:dyDescent="0.25">
      <c r="A388" t="str">
        <f>HYPERLINK("HTTP://10.0.1.74/krs/675/detail","/krs/675")</f>
        <v>/krs/675</v>
      </c>
      <c r="B388">
        <v>675</v>
      </c>
      <c r="C388" t="s">
        <v>46</v>
      </c>
      <c r="D388" t="s">
        <v>228</v>
      </c>
      <c r="E388" t="s">
        <v>98</v>
      </c>
      <c r="F388" t="s">
        <v>529</v>
      </c>
      <c r="G388" s="1">
        <v>43237</v>
      </c>
      <c r="H388" t="s">
        <v>530</v>
      </c>
      <c r="I388" t="s">
        <v>51</v>
      </c>
      <c r="K388" s="3">
        <v>346</v>
      </c>
      <c r="L388" s="3">
        <v>134</v>
      </c>
      <c r="M388" s="3">
        <v>480</v>
      </c>
      <c r="N388" s="4">
        <v>0.72</v>
      </c>
      <c r="O388" s="3">
        <v>12</v>
      </c>
      <c r="P388" s="3"/>
      <c r="Q388" s="3">
        <v>6</v>
      </c>
      <c r="R388" s="3">
        <v>12</v>
      </c>
      <c r="S388" s="5">
        <v>3.6</v>
      </c>
      <c r="T388" s="5">
        <v>3.6</v>
      </c>
      <c r="U388" s="4">
        <v>0.72</v>
      </c>
      <c r="V388" s="4">
        <v>0.72</v>
      </c>
      <c r="W388" s="4">
        <v>0.92</v>
      </c>
      <c r="X388" s="4">
        <v>0</v>
      </c>
      <c r="Y388" s="4">
        <v>0.5</v>
      </c>
      <c r="Z388" s="4">
        <v>0.28000000000000003</v>
      </c>
      <c r="AA388" s="3">
        <v>0</v>
      </c>
      <c r="AB388" s="3">
        <v>0</v>
      </c>
      <c r="AC388" s="5">
        <v>0</v>
      </c>
      <c r="AD388" s="4">
        <v>0</v>
      </c>
      <c r="AE388" s="4">
        <v>0</v>
      </c>
      <c r="AF388" s="4">
        <v>0</v>
      </c>
      <c r="AG388" s="4">
        <v>1</v>
      </c>
      <c r="AH388" s="4">
        <v>0.75</v>
      </c>
      <c r="AI388" s="4">
        <v>0.57999999999999996</v>
      </c>
      <c r="AJ388" t="s">
        <v>72</v>
      </c>
      <c r="AK388" t="s">
        <v>62</v>
      </c>
      <c r="AL388" t="s">
        <v>62</v>
      </c>
      <c r="AM388" t="s">
        <v>63</v>
      </c>
      <c r="AN388" t="s">
        <v>64</v>
      </c>
      <c r="AO388" t="s">
        <v>79</v>
      </c>
      <c r="AP388" t="s">
        <v>75</v>
      </c>
    </row>
    <row r="389" spans="1:42" x14ac:dyDescent="0.25">
      <c r="A389" t="str">
        <f>HYPERLINK("HTTP://10.0.1.74/krs/676/detail","/krs/676")</f>
        <v>/krs/676</v>
      </c>
      <c r="B389">
        <v>676</v>
      </c>
      <c r="C389" t="s">
        <v>531</v>
      </c>
      <c r="D389" t="s">
        <v>310</v>
      </c>
      <c r="F389" t="s">
        <v>52</v>
      </c>
      <c r="G389" s="1">
        <v>43242.619455069442</v>
      </c>
      <c r="H389" t="s">
        <v>498</v>
      </c>
      <c r="I389" t="s">
        <v>51</v>
      </c>
      <c r="K389" s="3"/>
      <c r="L389" s="3"/>
      <c r="M389" s="3"/>
      <c r="N389" s="4"/>
      <c r="O389" s="3"/>
      <c r="P389" s="3"/>
      <c r="Q389" s="3"/>
      <c r="R389" s="3"/>
      <c r="S389" s="5"/>
      <c r="T389" s="5"/>
      <c r="U389" s="4"/>
      <c r="V389" s="4"/>
      <c r="W389" s="4"/>
      <c r="X389" s="4"/>
      <c r="Y389" s="4"/>
      <c r="Z389" s="4"/>
      <c r="AA389" s="3"/>
      <c r="AB389" s="3"/>
      <c r="AC389" s="5"/>
      <c r="AD389" s="4"/>
      <c r="AE389" s="4"/>
      <c r="AF389" s="4"/>
      <c r="AG389" s="4"/>
      <c r="AH389" s="4"/>
      <c r="AI389" s="4"/>
      <c r="AJ389" t="s">
        <v>52</v>
      </c>
      <c r="AK389" t="s">
        <v>52</v>
      </c>
      <c r="AL389" t="s">
        <v>52</v>
      </c>
      <c r="AM389" t="s">
        <v>52</v>
      </c>
      <c r="AN389" t="s">
        <v>52</v>
      </c>
      <c r="AO389" t="s">
        <v>52</v>
      </c>
      <c r="AP389" t="s">
        <v>52</v>
      </c>
    </row>
    <row r="390" spans="1:42" x14ac:dyDescent="0.25">
      <c r="A390" t="str">
        <f>HYPERLINK("HTTP://10.0.1.74/krs/678/detail","/krs/678")</f>
        <v>/krs/678</v>
      </c>
      <c r="B390">
        <v>678</v>
      </c>
      <c r="C390" t="s">
        <v>532</v>
      </c>
      <c r="D390" t="s">
        <v>228</v>
      </c>
      <c r="E390" t="s">
        <v>98</v>
      </c>
      <c r="F390" t="s">
        <v>533</v>
      </c>
      <c r="G390" s="1">
        <v>43237</v>
      </c>
      <c r="H390" t="s">
        <v>534</v>
      </c>
      <c r="I390" t="s">
        <v>51</v>
      </c>
      <c r="K390" s="3">
        <v>209</v>
      </c>
      <c r="L390" s="3">
        <v>207</v>
      </c>
      <c r="M390" s="3">
        <v>416</v>
      </c>
      <c r="N390" s="4">
        <v>0.5</v>
      </c>
      <c r="O390" s="3">
        <v>13</v>
      </c>
      <c r="P390" s="3"/>
      <c r="Q390" s="3">
        <v>2</v>
      </c>
      <c r="R390" s="3">
        <v>12</v>
      </c>
      <c r="S390" s="5">
        <v>2.8</v>
      </c>
      <c r="T390" s="5">
        <v>2.7</v>
      </c>
      <c r="U390" s="4">
        <v>0.57999999999999996</v>
      </c>
      <c r="V390" s="4">
        <v>0.5</v>
      </c>
      <c r="W390" s="4">
        <v>0.57999999999999996</v>
      </c>
      <c r="X390" s="4">
        <v>0</v>
      </c>
      <c r="Y390" s="4">
        <v>0.17</v>
      </c>
      <c r="Z390" s="4">
        <v>0.5</v>
      </c>
      <c r="AA390" s="3">
        <v>0</v>
      </c>
      <c r="AB390" s="3">
        <v>0</v>
      </c>
      <c r="AC390" s="5">
        <v>0</v>
      </c>
      <c r="AD390" s="4">
        <v>0</v>
      </c>
      <c r="AE390" s="4">
        <v>0</v>
      </c>
      <c r="AF390" s="4">
        <v>0</v>
      </c>
      <c r="AG390" s="4">
        <v>1</v>
      </c>
      <c r="AH390" s="4">
        <v>0.53</v>
      </c>
      <c r="AI390" s="4">
        <v>0</v>
      </c>
      <c r="AJ390" t="s">
        <v>72</v>
      </c>
      <c r="AK390" t="s">
        <v>86</v>
      </c>
      <c r="AL390" t="s">
        <v>61</v>
      </c>
      <c r="AM390" t="s">
        <v>63</v>
      </c>
      <c r="AN390" t="s">
        <v>64</v>
      </c>
      <c r="AO390" t="s">
        <v>79</v>
      </c>
      <c r="AP390" t="s">
        <v>75</v>
      </c>
    </row>
    <row r="391" spans="1:42" x14ac:dyDescent="0.25">
      <c r="A391" t="str">
        <f>HYPERLINK("HTTP://10.0.1.74/krs/681/detail","/krs/681")</f>
        <v>/krs/681</v>
      </c>
      <c r="B391">
        <v>681</v>
      </c>
      <c r="C391" t="s">
        <v>535</v>
      </c>
      <c r="D391" t="s">
        <v>310</v>
      </c>
      <c r="E391" t="s">
        <v>98</v>
      </c>
      <c r="F391" t="s">
        <v>118</v>
      </c>
      <c r="G391" s="1">
        <v>43243.376840277779</v>
      </c>
      <c r="H391" t="s">
        <v>100</v>
      </c>
      <c r="I391" t="s">
        <v>57</v>
      </c>
      <c r="J391" t="s">
        <v>536</v>
      </c>
      <c r="K391" s="3">
        <v>331</v>
      </c>
      <c r="L391" s="3">
        <v>202</v>
      </c>
      <c r="M391" s="3">
        <v>533</v>
      </c>
      <c r="N391" s="4">
        <v>0.62</v>
      </c>
      <c r="O391" s="3">
        <v>13</v>
      </c>
      <c r="P391" s="3"/>
      <c r="Q391" s="3">
        <v>6</v>
      </c>
      <c r="R391" s="3">
        <v>13</v>
      </c>
      <c r="S391" s="5">
        <v>3.4</v>
      </c>
      <c r="T391" s="5">
        <v>3.4</v>
      </c>
      <c r="U391" s="4">
        <v>0.68</v>
      </c>
      <c r="V391" s="4">
        <v>0.62</v>
      </c>
      <c r="W391" s="4">
        <v>0.92</v>
      </c>
      <c r="X391" s="4">
        <v>0</v>
      </c>
      <c r="Y391" s="4">
        <v>0.46</v>
      </c>
      <c r="Z391" s="4">
        <v>0.38</v>
      </c>
      <c r="AA391" s="3">
        <v>0</v>
      </c>
      <c r="AB391" s="3">
        <v>0</v>
      </c>
      <c r="AC391" s="5">
        <v>0</v>
      </c>
      <c r="AD391" s="4">
        <v>0</v>
      </c>
      <c r="AE391" s="4">
        <v>0</v>
      </c>
      <c r="AF391" s="4">
        <v>0</v>
      </c>
      <c r="AG391" s="4">
        <v>1</v>
      </c>
      <c r="AH391" s="4">
        <v>0.62</v>
      </c>
      <c r="AI391" s="4">
        <v>0.65</v>
      </c>
      <c r="AJ391" t="s">
        <v>72</v>
      </c>
      <c r="AK391" t="s">
        <v>61</v>
      </c>
      <c r="AL391" t="s">
        <v>62</v>
      </c>
      <c r="AM391" t="s">
        <v>63</v>
      </c>
      <c r="AN391" t="s">
        <v>64</v>
      </c>
      <c r="AO391" t="s">
        <v>79</v>
      </c>
      <c r="AP391" t="s">
        <v>75</v>
      </c>
    </row>
    <row r="392" spans="1:42" x14ac:dyDescent="0.25">
      <c r="A392" t="str">
        <f>HYPERLINK("HTTP://10.0.1.74/krs/682/detail","/krs/682")</f>
        <v>/krs/682</v>
      </c>
      <c r="B392">
        <v>682</v>
      </c>
      <c r="C392" t="s">
        <v>46</v>
      </c>
      <c r="D392" t="s">
        <v>228</v>
      </c>
      <c r="E392" t="s">
        <v>98</v>
      </c>
      <c r="F392" t="s">
        <v>453</v>
      </c>
      <c r="G392" s="1">
        <v>43237</v>
      </c>
      <c r="H392" t="s">
        <v>534</v>
      </c>
      <c r="I392" t="s">
        <v>51</v>
      </c>
      <c r="J392" t="s">
        <v>537</v>
      </c>
      <c r="K392" s="3">
        <v>276</v>
      </c>
      <c r="L392" s="3">
        <v>172</v>
      </c>
      <c r="M392" s="3">
        <v>448</v>
      </c>
      <c r="N392" s="4">
        <v>0.62</v>
      </c>
      <c r="O392" s="3">
        <v>14</v>
      </c>
      <c r="P392" s="3"/>
      <c r="Q392" s="3">
        <v>2</v>
      </c>
      <c r="R392" s="3">
        <v>14</v>
      </c>
      <c r="S392" s="5">
        <v>3.1</v>
      </c>
      <c r="T392" s="5">
        <v>3.1</v>
      </c>
      <c r="U392" s="4">
        <v>0.61</v>
      </c>
      <c r="V392" s="4">
        <v>0.62</v>
      </c>
      <c r="W392" s="4">
        <v>0.86</v>
      </c>
      <c r="X392" s="4">
        <v>0</v>
      </c>
      <c r="Y392" s="4">
        <v>0.14000000000000001</v>
      </c>
      <c r="Z392" s="4">
        <v>0.38</v>
      </c>
      <c r="AA392" s="3">
        <v>0</v>
      </c>
      <c r="AB392" s="3">
        <v>0</v>
      </c>
      <c r="AC392" s="5">
        <v>0</v>
      </c>
      <c r="AD392" s="4">
        <v>0</v>
      </c>
      <c r="AE392" s="4">
        <v>0</v>
      </c>
      <c r="AF392" s="4">
        <v>0</v>
      </c>
      <c r="AG392" s="4">
        <v>1</v>
      </c>
      <c r="AH392" s="4">
        <v>0.69</v>
      </c>
      <c r="AI392" s="4">
        <v>0.56999999999999995</v>
      </c>
      <c r="AJ392" t="s">
        <v>72</v>
      </c>
      <c r="AK392" t="s">
        <v>61</v>
      </c>
      <c r="AL392" t="s">
        <v>62</v>
      </c>
      <c r="AM392" t="s">
        <v>63</v>
      </c>
      <c r="AN392" t="s">
        <v>64</v>
      </c>
      <c r="AO392" t="s">
        <v>79</v>
      </c>
      <c r="AP392" t="s">
        <v>75</v>
      </c>
    </row>
    <row r="393" spans="1:42" x14ac:dyDescent="0.25">
      <c r="A393" t="str">
        <f>HYPERLINK("HTTP://10.0.1.74/krs/683/detail","/krs/683")</f>
        <v>/krs/683</v>
      </c>
      <c r="B393">
        <v>683</v>
      </c>
      <c r="C393" t="s">
        <v>46</v>
      </c>
      <c r="D393" t="s">
        <v>228</v>
      </c>
      <c r="E393" t="s">
        <v>98</v>
      </c>
      <c r="F393" t="s">
        <v>538</v>
      </c>
      <c r="G393" s="1">
        <v>43237</v>
      </c>
      <c r="H393" t="s">
        <v>530</v>
      </c>
      <c r="I393" t="s">
        <v>51</v>
      </c>
      <c r="K393" s="3">
        <v>366</v>
      </c>
      <c r="L393" s="3">
        <v>114</v>
      </c>
      <c r="M393" s="3">
        <v>480</v>
      </c>
      <c r="N393" s="4">
        <v>0.76</v>
      </c>
      <c r="O393" s="3">
        <v>12</v>
      </c>
      <c r="P393" s="3"/>
      <c r="Q393" s="3">
        <v>8</v>
      </c>
      <c r="R393" s="3">
        <v>12</v>
      </c>
      <c r="S393" s="5">
        <v>3.9</v>
      </c>
      <c r="T393" s="5">
        <v>3.9</v>
      </c>
      <c r="U393" s="4">
        <v>0.78</v>
      </c>
      <c r="V393" s="4">
        <v>0.76</v>
      </c>
      <c r="W393" s="4">
        <v>1</v>
      </c>
      <c r="X393" s="4">
        <v>0</v>
      </c>
      <c r="Y393" s="4">
        <v>0.67</v>
      </c>
      <c r="Z393" s="4">
        <v>0.24</v>
      </c>
      <c r="AA393" s="3">
        <v>0</v>
      </c>
      <c r="AB393" s="3">
        <v>0</v>
      </c>
      <c r="AC393" s="5">
        <v>0</v>
      </c>
      <c r="AD393" s="4">
        <v>0</v>
      </c>
      <c r="AE393" s="4">
        <v>0</v>
      </c>
      <c r="AF393" s="4">
        <v>0</v>
      </c>
      <c r="AG393" s="4">
        <v>1</v>
      </c>
      <c r="AH393" s="4">
        <v>0.79</v>
      </c>
      <c r="AI393" s="4">
        <v>0.64</v>
      </c>
      <c r="AJ393" t="s">
        <v>72</v>
      </c>
      <c r="AK393" t="s">
        <v>62</v>
      </c>
      <c r="AL393" t="s">
        <v>62</v>
      </c>
      <c r="AM393" t="s">
        <v>63</v>
      </c>
      <c r="AN393" t="s">
        <v>64</v>
      </c>
      <c r="AO393" t="s">
        <v>79</v>
      </c>
      <c r="AP393" t="s">
        <v>75</v>
      </c>
    </row>
    <row r="394" spans="1:42" x14ac:dyDescent="0.25">
      <c r="A394" t="str">
        <f>HYPERLINK("HTTP://10.0.1.74/krs/684/detail","/krs/684")</f>
        <v>/krs/684</v>
      </c>
      <c r="B394">
        <v>684</v>
      </c>
      <c r="C394" t="s">
        <v>46</v>
      </c>
      <c r="D394" t="s">
        <v>228</v>
      </c>
      <c r="E394" t="s">
        <v>98</v>
      </c>
      <c r="F394" t="s">
        <v>539</v>
      </c>
      <c r="G394" s="1">
        <v>43237</v>
      </c>
      <c r="H394" t="s">
        <v>530</v>
      </c>
      <c r="I394" t="s">
        <v>51</v>
      </c>
      <c r="K394" s="3">
        <v>216</v>
      </c>
      <c r="L394" s="3">
        <v>168</v>
      </c>
      <c r="M394" s="3">
        <v>384</v>
      </c>
      <c r="N394" s="4">
        <v>0.56000000000000005</v>
      </c>
      <c r="O394" s="3">
        <v>12</v>
      </c>
      <c r="P394" s="3"/>
      <c r="Q394" s="3">
        <v>3</v>
      </c>
      <c r="R394" s="3">
        <v>11</v>
      </c>
      <c r="S394" s="5">
        <v>3</v>
      </c>
      <c r="T394" s="5">
        <v>2.9</v>
      </c>
      <c r="U394" s="4">
        <v>0.64</v>
      </c>
      <c r="V394" s="4">
        <v>0.56000000000000005</v>
      </c>
      <c r="W394" s="4">
        <v>0.73</v>
      </c>
      <c r="X394" s="4">
        <v>0</v>
      </c>
      <c r="Y394" s="4">
        <v>0.27</v>
      </c>
      <c r="Z394" s="4">
        <v>0.44</v>
      </c>
      <c r="AA394" s="3">
        <v>0</v>
      </c>
      <c r="AB394" s="3">
        <v>0</v>
      </c>
      <c r="AC394" s="5">
        <v>0</v>
      </c>
      <c r="AD394" s="4">
        <v>0</v>
      </c>
      <c r="AE394" s="4">
        <v>0</v>
      </c>
      <c r="AF394" s="4">
        <v>0</v>
      </c>
      <c r="AG394" s="4">
        <v>1</v>
      </c>
      <c r="AH394" s="4">
        <v>0.66</v>
      </c>
      <c r="AI394" s="4">
        <v>0.35</v>
      </c>
      <c r="AJ394" t="s">
        <v>72</v>
      </c>
      <c r="AK394" t="s">
        <v>86</v>
      </c>
      <c r="AL394" t="s">
        <v>62</v>
      </c>
      <c r="AM394" t="s">
        <v>63</v>
      </c>
      <c r="AN394" t="s">
        <v>64</v>
      </c>
      <c r="AO394" t="s">
        <v>79</v>
      </c>
      <c r="AP394" t="s">
        <v>75</v>
      </c>
    </row>
    <row r="395" spans="1:42" x14ac:dyDescent="0.25">
      <c r="A395" t="str">
        <f>HYPERLINK("HTTP://10.0.1.74/krs/685/detail","/krs/685")</f>
        <v>/krs/685</v>
      </c>
      <c r="B395">
        <v>685</v>
      </c>
      <c r="C395" t="s">
        <v>46</v>
      </c>
      <c r="D395" t="s">
        <v>228</v>
      </c>
      <c r="E395" t="s">
        <v>98</v>
      </c>
      <c r="F395" t="s">
        <v>525</v>
      </c>
      <c r="G395" s="1">
        <v>43237</v>
      </c>
      <c r="H395" t="s">
        <v>540</v>
      </c>
      <c r="I395" t="s">
        <v>51</v>
      </c>
      <c r="K395" s="3">
        <v>395</v>
      </c>
      <c r="L395" s="3">
        <v>125</v>
      </c>
      <c r="M395" s="3">
        <v>520</v>
      </c>
      <c r="N395" s="4">
        <v>0.76</v>
      </c>
      <c r="O395" s="3">
        <v>13</v>
      </c>
      <c r="P395" s="3"/>
      <c r="Q395" s="3">
        <v>10</v>
      </c>
      <c r="R395" s="3">
        <v>13</v>
      </c>
      <c r="S395" s="5">
        <v>4</v>
      </c>
      <c r="T395" s="5">
        <v>4.0999999999999996</v>
      </c>
      <c r="U395" s="4">
        <v>0.82</v>
      </c>
      <c r="V395" s="4">
        <v>0.76</v>
      </c>
      <c r="W395" s="4">
        <v>1</v>
      </c>
      <c r="X395" s="4">
        <v>0</v>
      </c>
      <c r="Y395" s="4">
        <v>0.77</v>
      </c>
      <c r="Z395" s="4">
        <v>0.24</v>
      </c>
      <c r="AA395" s="3">
        <v>0</v>
      </c>
      <c r="AB395" s="3">
        <v>0</v>
      </c>
      <c r="AC395" s="5">
        <v>0</v>
      </c>
      <c r="AD395" s="4">
        <v>0</v>
      </c>
      <c r="AE395" s="4">
        <v>0</v>
      </c>
      <c r="AF395" s="4">
        <v>0</v>
      </c>
      <c r="AG395" s="4">
        <v>1</v>
      </c>
      <c r="AH395" s="4">
        <v>0.76</v>
      </c>
      <c r="AI395" s="4">
        <v>0.75</v>
      </c>
      <c r="AJ395" t="s">
        <v>72</v>
      </c>
      <c r="AK395" t="s">
        <v>62</v>
      </c>
      <c r="AL395" t="s">
        <v>62</v>
      </c>
      <c r="AM395" t="s">
        <v>63</v>
      </c>
      <c r="AN395" t="s">
        <v>64</v>
      </c>
      <c r="AO395" t="s">
        <v>79</v>
      </c>
      <c r="AP395" t="s">
        <v>75</v>
      </c>
    </row>
    <row r="396" spans="1:42" x14ac:dyDescent="0.25">
      <c r="A396" t="str">
        <f>HYPERLINK("HTTP://10.0.1.74/krs/686/detail","/krs/686")</f>
        <v>/krs/686</v>
      </c>
      <c r="B396">
        <v>686</v>
      </c>
      <c r="C396" t="s">
        <v>541</v>
      </c>
      <c r="D396" t="s">
        <v>228</v>
      </c>
      <c r="E396" t="s">
        <v>98</v>
      </c>
      <c r="F396" t="s">
        <v>542</v>
      </c>
      <c r="G396" s="1">
        <v>43237</v>
      </c>
      <c r="H396" t="s">
        <v>540</v>
      </c>
      <c r="I396" t="s">
        <v>51</v>
      </c>
      <c r="K396" s="3">
        <v>408</v>
      </c>
      <c r="L396" s="3">
        <v>112</v>
      </c>
      <c r="M396" s="3">
        <v>520</v>
      </c>
      <c r="N396" s="4">
        <v>0.78</v>
      </c>
      <c r="O396" s="3">
        <v>13</v>
      </c>
      <c r="P396" s="3"/>
      <c r="Q396" s="3">
        <v>10</v>
      </c>
      <c r="R396" s="3">
        <v>13</v>
      </c>
      <c r="S396" s="5">
        <v>4</v>
      </c>
      <c r="T396" s="5">
        <v>4</v>
      </c>
      <c r="U396" s="4">
        <v>0.8</v>
      </c>
      <c r="V396" s="4">
        <v>0.78</v>
      </c>
      <c r="W396" s="4">
        <v>1</v>
      </c>
      <c r="X396" s="4">
        <v>0</v>
      </c>
      <c r="Y396" s="4">
        <v>0.77</v>
      </c>
      <c r="Z396" s="4">
        <v>0.22</v>
      </c>
      <c r="AA396" s="3">
        <v>0</v>
      </c>
      <c r="AB396" s="3">
        <v>0</v>
      </c>
      <c r="AC396" s="5">
        <v>0</v>
      </c>
      <c r="AD396" s="4">
        <v>0</v>
      </c>
      <c r="AE396" s="4">
        <v>0</v>
      </c>
      <c r="AF396" s="4">
        <v>0</v>
      </c>
      <c r="AG396" s="4">
        <v>1</v>
      </c>
      <c r="AH396" s="4">
        <v>0.79</v>
      </c>
      <c r="AI396" s="4">
        <v>0.74</v>
      </c>
      <c r="AJ396" t="s">
        <v>72</v>
      </c>
      <c r="AK396" t="s">
        <v>62</v>
      </c>
      <c r="AL396" t="s">
        <v>62</v>
      </c>
      <c r="AM396" t="s">
        <v>63</v>
      </c>
      <c r="AN396" t="s">
        <v>64</v>
      </c>
      <c r="AO396" t="s">
        <v>79</v>
      </c>
      <c r="AP396" t="s">
        <v>75</v>
      </c>
    </row>
    <row r="397" spans="1:42" x14ac:dyDescent="0.25">
      <c r="A397" t="str">
        <f>HYPERLINK("HTTP://10.0.1.74/krs/687/detail","/krs/687")</f>
        <v>/krs/687</v>
      </c>
      <c r="B397">
        <v>687</v>
      </c>
      <c r="C397" t="s">
        <v>543</v>
      </c>
      <c r="D397" t="s">
        <v>228</v>
      </c>
      <c r="E397" t="s">
        <v>98</v>
      </c>
      <c r="F397" t="s">
        <v>544</v>
      </c>
      <c r="G397" s="1">
        <v>43238</v>
      </c>
      <c r="H397" t="s">
        <v>540</v>
      </c>
      <c r="I397" t="s">
        <v>51</v>
      </c>
      <c r="K397" s="3">
        <v>975</v>
      </c>
      <c r="L397" s="3">
        <v>337</v>
      </c>
      <c r="M397" s="3">
        <v>1312</v>
      </c>
      <c r="N397" s="4">
        <v>0.74</v>
      </c>
      <c r="O397" s="3">
        <v>41</v>
      </c>
      <c r="P397" s="3"/>
      <c r="Q397" s="3">
        <v>31</v>
      </c>
      <c r="R397" s="3">
        <v>40</v>
      </c>
      <c r="S397" s="5">
        <v>4</v>
      </c>
      <c r="T397" s="5">
        <v>3.9</v>
      </c>
      <c r="U397" s="4">
        <v>0.81</v>
      </c>
      <c r="V397" s="4">
        <v>0.74</v>
      </c>
      <c r="W397" s="4">
        <v>0.98</v>
      </c>
      <c r="X397" s="4">
        <v>0</v>
      </c>
      <c r="Y397" s="4">
        <v>0.78</v>
      </c>
      <c r="Z397" s="4">
        <v>0.26</v>
      </c>
      <c r="AA397" s="3">
        <v>0</v>
      </c>
      <c r="AB397" s="3">
        <v>0</v>
      </c>
      <c r="AC397" s="5">
        <v>0</v>
      </c>
      <c r="AD397" s="4">
        <v>0</v>
      </c>
      <c r="AE397" s="4">
        <v>0</v>
      </c>
      <c r="AF397" s="4">
        <v>0</v>
      </c>
      <c r="AG397" s="4">
        <v>1</v>
      </c>
      <c r="AH397" s="4">
        <v>0.77</v>
      </c>
      <c r="AI397" s="4">
        <v>0.66</v>
      </c>
      <c r="AJ397" t="s">
        <v>72</v>
      </c>
      <c r="AK397" t="s">
        <v>62</v>
      </c>
      <c r="AL397" t="s">
        <v>62</v>
      </c>
      <c r="AM397" t="s">
        <v>63</v>
      </c>
      <c r="AN397" t="s">
        <v>64</v>
      </c>
      <c r="AO397" t="s">
        <v>79</v>
      </c>
      <c r="AP397" t="s">
        <v>75</v>
      </c>
    </row>
    <row r="398" spans="1:42" x14ac:dyDescent="0.25">
      <c r="A398" t="str">
        <f>HYPERLINK("HTTP://10.0.1.74/krs/689/detail","/krs/689")</f>
        <v>/krs/689</v>
      </c>
      <c r="B398">
        <v>689</v>
      </c>
      <c r="C398" t="s">
        <v>545</v>
      </c>
      <c r="D398" t="s">
        <v>228</v>
      </c>
      <c r="E398" t="s">
        <v>54</v>
      </c>
      <c r="F398" t="s">
        <v>527</v>
      </c>
      <c r="G398" s="1">
        <v>43249.80574074074</v>
      </c>
      <c r="H398" t="s">
        <v>528</v>
      </c>
      <c r="I398" t="s">
        <v>51</v>
      </c>
      <c r="J398" t="s">
        <v>546</v>
      </c>
      <c r="K398" s="3"/>
      <c r="L398" s="3"/>
      <c r="M398" s="3"/>
      <c r="N398" s="4"/>
      <c r="O398" s="3"/>
      <c r="P398" s="3"/>
      <c r="Q398" s="3"/>
      <c r="R398" s="3"/>
      <c r="S398" s="5"/>
      <c r="T398" s="5"/>
      <c r="U398" s="4"/>
      <c r="V398" s="4"/>
      <c r="W398" s="4"/>
      <c r="X398" s="4"/>
      <c r="Y398" s="4"/>
      <c r="Z398" s="4"/>
      <c r="AA398" s="3"/>
      <c r="AB398" s="3"/>
      <c r="AC398" s="5"/>
      <c r="AD398" s="4"/>
      <c r="AE398" s="4"/>
      <c r="AF398" s="4"/>
      <c r="AG398" s="4"/>
      <c r="AH398" s="4"/>
      <c r="AI398" s="4"/>
      <c r="AJ398" t="s">
        <v>52</v>
      </c>
      <c r="AK398" t="s">
        <v>52</v>
      </c>
      <c r="AL398" t="s">
        <v>52</v>
      </c>
      <c r="AM398" t="s">
        <v>52</v>
      </c>
      <c r="AN398" t="s">
        <v>52</v>
      </c>
      <c r="AO398" t="s">
        <v>52</v>
      </c>
      <c r="AP398" t="s">
        <v>52</v>
      </c>
    </row>
    <row r="399" spans="1:42" x14ac:dyDescent="0.25">
      <c r="A399" t="str">
        <f>HYPERLINK("HTTP://10.0.1.74/krs/690/detail","/krs/690")</f>
        <v>/krs/690</v>
      </c>
      <c r="B399">
        <v>690</v>
      </c>
      <c r="C399" t="s">
        <v>547</v>
      </c>
      <c r="D399" t="s">
        <v>228</v>
      </c>
      <c r="E399" t="s">
        <v>54</v>
      </c>
      <c r="F399" t="s">
        <v>548</v>
      </c>
      <c r="G399" s="1">
        <v>43249.807719907411</v>
      </c>
      <c r="H399" t="s">
        <v>549</v>
      </c>
      <c r="I399" t="s">
        <v>51</v>
      </c>
      <c r="J399" t="s">
        <v>546</v>
      </c>
      <c r="K399" s="3">
        <v>360</v>
      </c>
      <c r="L399" s="3">
        <v>240</v>
      </c>
      <c r="M399" s="3">
        <v>600</v>
      </c>
      <c r="N399" s="4">
        <v>0.6</v>
      </c>
      <c r="O399" s="3">
        <v>25</v>
      </c>
      <c r="P399" s="3"/>
      <c r="Q399" s="3">
        <v>15</v>
      </c>
      <c r="R399" s="3">
        <v>24</v>
      </c>
      <c r="S399" s="5">
        <v>3.4</v>
      </c>
      <c r="T399" s="5">
        <v>3.5</v>
      </c>
      <c r="U399" s="4">
        <v>0.73</v>
      </c>
      <c r="V399" s="4">
        <v>0.6</v>
      </c>
      <c r="W399" s="4">
        <v>0.88</v>
      </c>
      <c r="X399" s="4">
        <v>0</v>
      </c>
      <c r="Y399" s="4">
        <v>0.63</v>
      </c>
      <c r="Z399" s="4">
        <v>0.4</v>
      </c>
      <c r="AA399" s="3">
        <v>0</v>
      </c>
      <c r="AB399" s="3">
        <v>0</v>
      </c>
      <c r="AC399" s="5">
        <v>0</v>
      </c>
      <c r="AD399" s="4">
        <v>0</v>
      </c>
      <c r="AE399" s="4">
        <v>0</v>
      </c>
      <c r="AF399" s="4">
        <v>0</v>
      </c>
      <c r="AG399" s="4">
        <v>1</v>
      </c>
      <c r="AH399" s="4">
        <v>0.57999999999999996</v>
      </c>
      <c r="AI399" s="4">
        <v>0.61</v>
      </c>
      <c r="AJ399" t="s">
        <v>60</v>
      </c>
      <c r="AK399" t="s">
        <v>61</v>
      </c>
      <c r="AL399" t="s">
        <v>62</v>
      </c>
      <c r="AM399" t="s">
        <v>63</v>
      </c>
      <c r="AN399" t="s">
        <v>64</v>
      </c>
      <c r="AO399" t="s">
        <v>79</v>
      </c>
      <c r="AP399" t="s">
        <v>75</v>
      </c>
    </row>
    <row r="400" spans="1:42" x14ac:dyDescent="0.25">
      <c r="A400" t="str">
        <f>HYPERLINK("HTTP://10.0.1.74/krs/691/detail","/krs/691")</f>
        <v>/krs/691</v>
      </c>
      <c r="B400">
        <v>691</v>
      </c>
      <c r="C400" t="s">
        <v>550</v>
      </c>
      <c r="D400" t="s">
        <v>228</v>
      </c>
      <c r="E400" t="s">
        <v>54</v>
      </c>
      <c r="F400" t="s">
        <v>551</v>
      </c>
      <c r="G400" s="1">
        <v>43235</v>
      </c>
      <c r="H400" t="s">
        <v>552</v>
      </c>
      <c r="I400" t="s">
        <v>51</v>
      </c>
      <c r="J400" t="s">
        <v>546</v>
      </c>
      <c r="K400" s="3">
        <v>471</v>
      </c>
      <c r="L400" s="3">
        <v>153</v>
      </c>
      <c r="M400" s="3">
        <v>624</v>
      </c>
      <c r="N400" s="4">
        <v>0.75</v>
      </c>
      <c r="O400" s="3">
        <v>26</v>
      </c>
      <c r="P400" s="3"/>
      <c r="Q400" s="3">
        <v>21</v>
      </c>
      <c r="R400" s="3">
        <v>26</v>
      </c>
      <c r="S400" s="5">
        <v>3.9</v>
      </c>
      <c r="T400" s="5">
        <v>4</v>
      </c>
      <c r="U400" s="4">
        <v>0.8</v>
      </c>
      <c r="V400" s="4">
        <v>0.75</v>
      </c>
      <c r="W400" s="4">
        <v>0.92</v>
      </c>
      <c r="X400" s="4">
        <v>0</v>
      </c>
      <c r="Y400" s="4">
        <v>0.81</v>
      </c>
      <c r="Z400" s="4">
        <v>0.25</v>
      </c>
      <c r="AA400" s="3">
        <v>0</v>
      </c>
      <c r="AB400" s="3">
        <v>0</v>
      </c>
      <c r="AC400" s="5">
        <v>0</v>
      </c>
      <c r="AD400" s="4">
        <v>0</v>
      </c>
      <c r="AE400" s="4">
        <v>0</v>
      </c>
      <c r="AF400" s="4">
        <v>0</v>
      </c>
      <c r="AG400" s="4">
        <v>1</v>
      </c>
      <c r="AH400" s="4">
        <v>0.78</v>
      </c>
      <c r="AI400" s="4">
        <v>0.7</v>
      </c>
      <c r="AJ400" t="s">
        <v>72</v>
      </c>
      <c r="AK400" t="s">
        <v>62</v>
      </c>
      <c r="AL400" t="s">
        <v>62</v>
      </c>
      <c r="AM400" t="s">
        <v>63</v>
      </c>
      <c r="AN400" t="s">
        <v>64</v>
      </c>
      <c r="AO400" t="s">
        <v>79</v>
      </c>
      <c r="AP400" t="s">
        <v>75</v>
      </c>
    </row>
    <row r="401" spans="1:42" x14ac:dyDescent="0.25">
      <c r="A401" t="str">
        <f>HYPERLINK("HTTP://10.0.1.74/krs/695/detail","/krs/695")</f>
        <v>/krs/695</v>
      </c>
      <c r="B401">
        <v>695</v>
      </c>
      <c r="C401" t="s">
        <v>106</v>
      </c>
      <c r="D401" t="s">
        <v>228</v>
      </c>
      <c r="E401" t="s">
        <v>54</v>
      </c>
      <c r="F401" t="s">
        <v>293</v>
      </c>
      <c r="G401" s="1">
        <v>43235</v>
      </c>
      <c r="H401" t="s">
        <v>553</v>
      </c>
      <c r="I401" t="s">
        <v>51</v>
      </c>
      <c r="J401" t="s">
        <v>554</v>
      </c>
      <c r="K401" s="3">
        <v>4147</v>
      </c>
      <c r="L401" s="3">
        <v>1325</v>
      </c>
      <c r="M401" s="3">
        <v>5472</v>
      </c>
      <c r="N401" s="4">
        <v>0.76</v>
      </c>
      <c r="O401" s="3">
        <v>150</v>
      </c>
      <c r="P401" s="3"/>
      <c r="Q401" s="3">
        <v>118</v>
      </c>
      <c r="R401" s="3">
        <v>150</v>
      </c>
      <c r="S401" s="5">
        <v>4</v>
      </c>
      <c r="T401" s="5">
        <v>4</v>
      </c>
      <c r="U401" s="4">
        <v>0.79</v>
      </c>
      <c r="V401" s="4">
        <v>0.76</v>
      </c>
      <c r="W401" s="4">
        <v>0.97</v>
      </c>
      <c r="X401" s="4">
        <v>0</v>
      </c>
      <c r="Y401" s="4">
        <v>0.79</v>
      </c>
      <c r="Z401" s="4">
        <v>0.24</v>
      </c>
      <c r="AA401" s="3">
        <v>0</v>
      </c>
      <c r="AB401" s="3">
        <v>0</v>
      </c>
      <c r="AC401" s="5">
        <v>0</v>
      </c>
      <c r="AD401" s="4">
        <v>0</v>
      </c>
      <c r="AE401" s="4">
        <v>0</v>
      </c>
      <c r="AF401" s="4">
        <v>0</v>
      </c>
      <c r="AG401" s="4">
        <v>1</v>
      </c>
      <c r="AH401" s="4">
        <v>0.85</v>
      </c>
      <c r="AI401" s="4">
        <v>0.71</v>
      </c>
      <c r="AJ401" t="s">
        <v>72</v>
      </c>
      <c r="AK401" t="s">
        <v>62</v>
      </c>
      <c r="AL401" t="s">
        <v>62</v>
      </c>
      <c r="AM401" t="s">
        <v>63</v>
      </c>
      <c r="AN401" t="s">
        <v>64</v>
      </c>
      <c r="AO401" t="s">
        <v>79</v>
      </c>
      <c r="AP401" t="s">
        <v>75</v>
      </c>
    </row>
    <row r="402" spans="1:42" x14ac:dyDescent="0.25">
      <c r="A402" t="str">
        <f>HYPERLINK("HTTP://10.0.1.74/krs/697/detail","/krs/697")</f>
        <v>/krs/697</v>
      </c>
      <c r="B402">
        <v>697</v>
      </c>
      <c r="C402" t="s">
        <v>46</v>
      </c>
      <c r="D402" t="s">
        <v>310</v>
      </c>
      <c r="E402" t="s">
        <v>48</v>
      </c>
      <c r="F402" t="s">
        <v>555</v>
      </c>
      <c r="G402" s="1">
        <v>43216</v>
      </c>
      <c r="H402" t="s">
        <v>556</v>
      </c>
      <c r="I402" t="s">
        <v>51</v>
      </c>
      <c r="K402" s="3"/>
      <c r="L402" s="3"/>
      <c r="M402" s="3"/>
      <c r="N402" s="4"/>
      <c r="O402" s="3"/>
      <c r="P402" s="3"/>
      <c r="Q402" s="3"/>
      <c r="R402" s="3"/>
      <c r="S402" s="5"/>
      <c r="T402" s="5"/>
      <c r="U402" s="4"/>
      <c r="V402" s="4"/>
      <c r="W402" s="4"/>
      <c r="X402" s="4"/>
      <c r="Y402" s="4"/>
      <c r="Z402" s="4"/>
      <c r="AA402" s="3"/>
      <c r="AB402" s="3"/>
      <c r="AC402" s="5"/>
      <c r="AD402" s="4"/>
      <c r="AE402" s="4"/>
      <c r="AF402" s="4"/>
      <c r="AG402" s="4"/>
      <c r="AH402" s="4"/>
      <c r="AI402" s="4"/>
      <c r="AJ402" t="s">
        <v>52</v>
      </c>
      <c r="AK402" t="s">
        <v>52</v>
      </c>
      <c r="AL402" t="s">
        <v>52</v>
      </c>
      <c r="AM402" t="s">
        <v>52</v>
      </c>
      <c r="AN402" t="s">
        <v>52</v>
      </c>
      <c r="AO402" t="s">
        <v>52</v>
      </c>
      <c r="AP402" t="s">
        <v>52</v>
      </c>
    </row>
    <row r="403" spans="1:42" x14ac:dyDescent="0.25">
      <c r="A403" t="str">
        <f>HYPERLINK("HTTP://10.0.1.74/krs/698/detail","/krs/698")</f>
        <v>/krs/698</v>
      </c>
      <c r="B403">
        <v>698</v>
      </c>
      <c r="C403" t="s">
        <v>46</v>
      </c>
      <c r="D403" t="s">
        <v>310</v>
      </c>
      <c r="E403" t="s">
        <v>48</v>
      </c>
      <c r="F403" t="s">
        <v>555</v>
      </c>
      <c r="G403" s="1">
        <v>43216</v>
      </c>
      <c r="H403" t="s">
        <v>556</v>
      </c>
      <c r="I403" t="s">
        <v>51</v>
      </c>
      <c r="K403" s="3"/>
      <c r="L403" s="3"/>
      <c r="M403" s="3"/>
      <c r="N403" s="4"/>
      <c r="O403" s="3"/>
      <c r="P403" s="3"/>
      <c r="Q403" s="3"/>
      <c r="R403" s="3"/>
      <c r="S403" s="5"/>
      <c r="T403" s="5"/>
      <c r="U403" s="4"/>
      <c r="V403" s="4"/>
      <c r="W403" s="4"/>
      <c r="X403" s="4"/>
      <c r="Y403" s="4"/>
      <c r="Z403" s="4"/>
      <c r="AA403" s="3"/>
      <c r="AB403" s="3"/>
      <c r="AC403" s="5"/>
      <c r="AD403" s="4"/>
      <c r="AE403" s="4"/>
      <c r="AF403" s="4"/>
      <c r="AG403" s="4"/>
      <c r="AH403" s="4"/>
      <c r="AI403" s="4"/>
      <c r="AJ403" t="s">
        <v>52</v>
      </c>
      <c r="AK403" t="s">
        <v>52</v>
      </c>
      <c r="AL403" t="s">
        <v>52</v>
      </c>
      <c r="AM403" t="s">
        <v>52</v>
      </c>
      <c r="AN403" t="s">
        <v>52</v>
      </c>
      <c r="AO403" t="s">
        <v>52</v>
      </c>
      <c r="AP403" t="s">
        <v>52</v>
      </c>
    </row>
    <row r="404" spans="1:42" x14ac:dyDescent="0.25">
      <c r="A404" t="str">
        <f>HYPERLINK("HTTP://10.0.1.74/krs/699/detail","/krs/699")</f>
        <v>/krs/699</v>
      </c>
      <c r="B404">
        <v>699</v>
      </c>
      <c r="C404" t="s">
        <v>557</v>
      </c>
      <c r="D404" t="s">
        <v>228</v>
      </c>
      <c r="E404" t="s">
        <v>54</v>
      </c>
      <c r="F404" t="s">
        <v>542</v>
      </c>
      <c r="G404" s="1">
        <v>43235</v>
      </c>
      <c r="H404" t="s">
        <v>552</v>
      </c>
      <c r="I404" t="s">
        <v>51</v>
      </c>
      <c r="J404" t="s">
        <v>558</v>
      </c>
      <c r="K404" s="3">
        <v>728</v>
      </c>
      <c r="L404" s="3">
        <v>208</v>
      </c>
      <c r="M404" s="3">
        <v>936</v>
      </c>
      <c r="N404" s="4">
        <v>0.78</v>
      </c>
      <c r="O404" s="3">
        <v>26</v>
      </c>
      <c r="P404" s="3"/>
      <c r="Q404" s="3">
        <v>21</v>
      </c>
      <c r="R404" s="3">
        <v>26</v>
      </c>
      <c r="S404" s="5">
        <v>4</v>
      </c>
      <c r="T404" s="5">
        <v>4.0999999999999996</v>
      </c>
      <c r="U404" s="4">
        <v>0.82</v>
      </c>
      <c r="V404" s="4">
        <v>0.78</v>
      </c>
      <c r="W404" s="4">
        <v>0.92</v>
      </c>
      <c r="X404" s="4">
        <v>0</v>
      </c>
      <c r="Y404" s="4">
        <v>0.81</v>
      </c>
      <c r="Z404" s="4">
        <v>0.22</v>
      </c>
      <c r="AA404" s="3">
        <v>0</v>
      </c>
      <c r="AB404" s="3">
        <v>0</v>
      </c>
      <c r="AC404" s="5">
        <v>0</v>
      </c>
      <c r="AD404" s="4">
        <v>0</v>
      </c>
      <c r="AE404" s="4">
        <v>0</v>
      </c>
      <c r="AF404" s="4">
        <v>0</v>
      </c>
      <c r="AG404" s="4">
        <v>1</v>
      </c>
      <c r="AH404" s="4">
        <v>0.83</v>
      </c>
      <c r="AI404" s="4">
        <v>0.76</v>
      </c>
      <c r="AJ404" t="s">
        <v>72</v>
      </c>
      <c r="AK404" t="s">
        <v>62</v>
      </c>
      <c r="AL404" t="s">
        <v>62</v>
      </c>
      <c r="AM404" t="s">
        <v>63</v>
      </c>
      <c r="AN404" t="s">
        <v>64</v>
      </c>
      <c r="AO404" t="s">
        <v>79</v>
      </c>
      <c r="AP404" t="s">
        <v>75</v>
      </c>
    </row>
    <row r="405" spans="1:42" x14ac:dyDescent="0.25">
      <c r="A405" t="str">
        <f>HYPERLINK("HTTP://10.0.1.74/krs/700/detail","/krs/700")</f>
        <v>/krs/700</v>
      </c>
      <c r="B405">
        <v>700</v>
      </c>
      <c r="C405" t="s">
        <v>559</v>
      </c>
      <c r="D405" t="s">
        <v>310</v>
      </c>
      <c r="E405" t="s">
        <v>68</v>
      </c>
      <c r="F405" t="s">
        <v>560</v>
      </c>
      <c r="G405" s="1">
        <v>43236</v>
      </c>
      <c r="H405" t="s">
        <v>561</v>
      </c>
      <c r="I405" t="s">
        <v>57</v>
      </c>
      <c r="J405" t="s">
        <v>298</v>
      </c>
      <c r="K405" s="3">
        <v>908</v>
      </c>
      <c r="L405" s="3">
        <v>472</v>
      </c>
      <c r="M405" s="3">
        <v>1380</v>
      </c>
      <c r="N405" s="4">
        <v>0.66</v>
      </c>
      <c r="O405" s="3">
        <v>69</v>
      </c>
      <c r="P405" s="3"/>
      <c r="Q405" s="3">
        <v>36</v>
      </c>
      <c r="R405" s="3">
        <v>69</v>
      </c>
      <c r="S405" s="5">
        <v>3.4</v>
      </c>
      <c r="T405" s="5">
        <v>3.5</v>
      </c>
      <c r="U405" s="4">
        <v>0.71</v>
      </c>
      <c r="V405" s="4">
        <v>0.66</v>
      </c>
      <c r="W405" s="4">
        <v>0.75</v>
      </c>
      <c r="X405" s="4">
        <v>0</v>
      </c>
      <c r="Y405" s="4">
        <v>0.52</v>
      </c>
      <c r="Z405" s="4">
        <v>0.34</v>
      </c>
      <c r="AA405" s="3">
        <v>0</v>
      </c>
      <c r="AB405" s="3">
        <v>0</v>
      </c>
      <c r="AC405" s="5">
        <v>0</v>
      </c>
      <c r="AD405" s="4">
        <v>0</v>
      </c>
      <c r="AE405" s="4">
        <v>0</v>
      </c>
      <c r="AF405" s="4">
        <v>0</v>
      </c>
      <c r="AG405" s="4">
        <v>1</v>
      </c>
      <c r="AH405" s="4">
        <v>0.67</v>
      </c>
      <c r="AI405" s="4">
        <v>0</v>
      </c>
      <c r="AJ405" t="s">
        <v>72</v>
      </c>
      <c r="AK405" t="s">
        <v>61</v>
      </c>
      <c r="AL405" t="s">
        <v>62</v>
      </c>
      <c r="AM405" t="s">
        <v>63</v>
      </c>
      <c r="AN405" t="s">
        <v>64</v>
      </c>
      <c r="AO405" t="s">
        <v>79</v>
      </c>
      <c r="AP405" t="s">
        <v>75</v>
      </c>
    </row>
    <row r="406" spans="1:42" x14ac:dyDescent="0.25">
      <c r="A406" t="str">
        <f>HYPERLINK("HTTP://10.0.1.74/krs/701/detail","/krs/701")</f>
        <v>/krs/701</v>
      </c>
      <c r="B406">
        <v>701</v>
      </c>
      <c r="C406" t="s">
        <v>562</v>
      </c>
      <c r="D406" t="s">
        <v>228</v>
      </c>
      <c r="E406" t="s">
        <v>54</v>
      </c>
      <c r="F406" t="s">
        <v>293</v>
      </c>
      <c r="G406" s="1">
        <v>43253.355520833335</v>
      </c>
      <c r="H406" t="s">
        <v>552</v>
      </c>
      <c r="I406" t="s">
        <v>51</v>
      </c>
      <c r="J406" t="s">
        <v>558</v>
      </c>
      <c r="K406" s="3"/>
      <c r="L406" s="3"/>
      <c r="M406" s="3"/>
      <c r="N406" s="4"/>
      <c r="O406" s="3"/>
      <c r="P406" s="3"/>
      <c r="Q406" s="3"/>
      <c r="R406" s="3"/>
      <c r="S406" s="5"/>
      <c r="T406" s="5"/>
      <c r="U406" s="4"/>
      <c r="V406" s="4"/>
      <c r="W406" s="4"/>
      <c r="X406" s="4"/>
      <c r="Y406" s="4"/>
      <c r="Z406" s="4"/>
      <c r="AA406" s="3"/>
      <c r="AB406" s="3"/>
      <c r="AC406" s="5"/>
      <c r="AD406" s="4"/>
      <c r="AE406" s="4"/>
      <c r="AF406" s="4"/>
      <c r="AG406" s="4"/>
      <c r="AH406" s="4"/>
      <c r="AI406" s="4"/>
      <c r="AJ406" t="s">
        <v>52</v>
      </c>
      <c r="AK406" t="s">
        <v>52</v>
      </c>
      <c r="AL406" t="s">
        <v>52</v>
      </c>
      <c r="AM406" t="s">
        <v>52</v>
      </c>
      <c r="AN406" t="s">
        <v>52</v>
      </c>
      <c r="AO406" t="s">
        <v>52</v>
      </c>
      <c r="AP406" t="s">
        <v>52</v>
      </c>
    </row>
    <row r="407" spans="1:42" x14ac:dyDescent="0.25">
      <c r="A407" t="str">
        <f>HYPERLINK("HTTP://10.0.1.74/krs/702/detail","/krs/702")</f>
        <v>/krs/702</v>
      </c>
      <c r="B407">
        <v>702</v>
      </c>
      <c r="C407" t="s">
        <v>563</v>
      </c>
      <c r="D407" t="s">
        <v>310</v>
      </c>
      <c r="E407" t="s">
        <v>98</v>
      </c>
      <c r="F407" t="s">
        <v>118</v>
      </c>
      <c r="G407" s="1">
        <v>43253.477152777778</v>
      </c>
      <c r="H407" t="s">
        <v>299</v>
      </c>
      <c r="I407" t="s">
        <v>57</v>
      </c>
      <c r="J407" t="s">
        <v>564</v>
      </c>
      <c r="K407" s="3">
        <v>0</v>
      </c>
      <c r="L407" s="3">
        <v>1148</v>
      </c>
      <c r="M407" s="3">
        <v>1148</v>
      </c>
      <c r="N407" s="4">
        <v>0</v>
      </c>
      <c r="O407" s="3">
        <v>28</v>
      </c>
      <c r="P407" s="3"/>
      <c r="Q407" s="3">
        <v>10</v>
      </c>
      <c r="R407" s="3">
        <v>0</v>
      </c>
      <c r="S407" s="5">
        <v>0</v>
      </c>
      <c r="T407" s="5">
        <v>3.3</v>
      </c>
      <c r="U407" s="4">
        <v>0</v>
      </c>
      <c r="V407" s="4">
        <v>0</v>
      </c>
      <c r="W407" s="4">
        <v>0</v>
      </c>
      <c r="X407" s="4">
        <v>0</v>
      </c>
      <c r="Y407" s="4">
        <v>0</v>
      </c>
      <c r="Z407" s="4">
        <v>1</v>
      </c>
      <c r="AA407" s="3">
        <v>0</v>
      </c>
      <c r="AB407" s="3">
        <v>0</v>
      </c>
      <c r="AC407" s="5">
        <v>0</v>
      </c>
      <c r="AD407" s="4">
        <v>0</v>
      </c>
      <c r="AE407" s="4">
        <v>0</v>
      </c>
      <c r="AF407" s="4">
        <v>0</v>
      </c>
      <c r="AG407" s="4">
        <v>1</v>
      </c>
      <c r="AH407" s="4">
        <v>0</v>
      </c>
      <c r="AI407" s="4">
        <v>0</v>
      </c>
      <c r="AJ407" t="s">
        <v>72</v>
      </c>
      <c r="AK407" t="s">
        <v>86</v>
      </c>
      <c r="AL407" t="s">
        <v>86</v>
      </c>
      <c r="AM407" t="s">
        <v>63</v>
      </c>
      <c r="AN407" t="s">
        <v>97</v>
      </c>
      <c r="AO407" t="s">
        <v>79</v>
      </c>
      <c r="AP407" t="s">
        <v>75</v>
      </c>
    </row>
    <row r="408" spans="1:42" x14ac:dyDescent="0.25">
      <c r="A408" t="str">
        <f>HYPERLINK("HTTP://10.0.1.74/krs/703/detail","/krs/703")</f>
        <v>/krs/703</v>
      </c>
      <c r="B408">
        <v>703</v>
      </c>
      <c r="C408" t="s">
        <v>565</v>
      </c>
      <c r="D408" t="s">
        <v>310</v>
      </c>
      <c r="E408" t="s">
        <v>98</v>
      </c>
      <c r="F408" t="s">
        <v>90</v>
      </c>
      <c r="G408" s="1">
        <v>43255.435277777775</v>
      </c>
      <c r="H408" t="s">
        <v>299</v>
      </c>
      <c r="I408" t="s">
        <v>57</v>
      </c>
      <c r="K408" s="3">
        <v>250</v>
      </c>
      <c r="L408" s="3">
        <v>134</v>
      </c>
      <c r="M408" s="3">
        <v>384</v>
      </c>
      <c r="N408" s="4">
        <v>0.65</v>
      </c>
      <c r="O408" s="3">
        <v>12</v>
      </c>
      <c r="P408" s="3"/>
      <c r="Q408" s="3">
        <v>5</v>
      </c>
      <c r="R408" s="3">
        <v>12</v>
      </c>
      <c r="S408" s="5">
        <v>3.4</v>
      </c>
      <c r="T408" s="5">
        <v>3.4</v>
      </c>
      <c r="U408" s="4">
        <v>0.68</v>
      </c>
      <c r="V408" s="4">
        <v>0.65</v>
      </c>
      <c r="W408" s="4">
        <v>0.83</v>
      </c>
      <c r="X408" s="4">
        <v>0.78</v>
      </c>
      <c r="Y408" s="4">
        <v>0.42</v>
      </c>
      <c r="Z408" s="4">
        <v>0.35</v>
      </c>
      <c r="AA408" s="3">
        <v>10</v>
      </c>
      <c r="AB408" s="3">
        <v>7</v>
      </c>
      <c r="AC408" s="5">
        <v>4.0999999999999996</v>
      </c>
      <c r="AD408" s="4">
        <v>1</v>
      </c>
      <c r="AE408" s="4">
        <v>0.83</v>
      </c>
      <c r="AF408" s="4">
        <v>0.7</v>
      </c>
      <c r="AG408" s="4">
        <v>0.17</v>
      </c>
      <c r="AH408" s="4">
        <v>0.59</v>
      </c>
      <c r="AI408" s="4">
        <v>0</v>
      </c>
      <c r="AJ408" t="s">
        <v>72</v>
      </c>
      <c r="AK408" t="s">
        <v>61</v>
      </c>
      <c r="AL408" t="s">
        <v>62</v>
      </c>
      <c r="AM408" t="s">
        <v>73</v>
      </c>
      <c r="AN408" t="s">
        <v>64</v>
      </c>
      <c r="AO408" t="s">
        <v>74</v>
      </c>
      <c r="AP408" t="s">
        <v>75</v>
      </c>
    </row>
    <row r="409" spans="1:42" x14ac:dyDescent="0.25">
      <c r="A409" t="str">
        <f>HYPERLINK("HTTP://10.0.1.74/krs/704/detail","/krs/704")</f>
        <v>/krs/704</v>
      </c>
      <c r="B409">
        <v>704</v>
      </c>
      <c r="C409" t="s">
        <v>106</v>
      </c>
      <c r="D409" t="s">
        <v>310</v>
      </c>
      <c r="E409" t="s">
        <v>54</v>
      </c>
      <c r="F409" t="s">
        <v>513</v>
      </c>
      <c r="G409" s="1">
        <v>43235</v>
      </c>
      <c r="H409" t="s">
        <v>514</v>
      </c>
      <c r="I409" t="s">
        <v>51</v>
      </c>
      <c r="J409" t="s">
        <v>566</v>
      </c>
      <c r="K409" s="3">
        <v>665</v>
      </c>
      <c r="L409" s="3">
        <v>183</v>
      </c>
      <c r="M409" s="3">
        <v>848</v>
      </c>
      <c r="N409" s="4">
        <v>0.78</v>
      </c>
      <c r="O409" s="3">
        <v>53</v>
      </c>
      <c r="P409" s="3"/>
      <c r="Q409" s="3">
        <v>47</v>
      </c>
      <c r="R409" s="3">
        <v>51</v>
      </c>
      <c r="S409" s="5">
        <v>4</v>
      </c>
      <c r="T409" s="5">
        <v>4.2</v>
      </c>
      <c r="U409" s="4">
        <v>0.87</v>
      </c>
      <c r="V409" s="4">
        <v>0.78</v>
      </c>
      <c r="W409" s="4">
        <v>0.96</v>
      </c>
      <c r="X409" s="4">
        <v>0</v>
      </c>
      <c r="Y409" s="4">
        <v>0.92</v>
      </c>
      <c r="Z409" s="4">
        <v>0.22</v>
      </c>
      <c r="AA409" s="3">
        <v>0</v>
      </c>
      <c r="AB409" s="3">
        <v>0</v>
      </c>
      <c r="AC409" s="5">
        <v>0</v>
      </c>
      <c r="AD409" s="4">
        <v>0</v>
      </c>
      <c r="AE409" s="4">
        <v>0</v>
      </c>
      <c r="AF409" s="4">
        <v>0</v>
      </c>
      <c r="AG409" s="4">
        <v>1</v>
      </c>
      <c r="AH409" s="4">
        <v>0.78</v>
      </c>
      <c r="AI409" s="4">
        <v>0</v>
      </c>
      <c r="AJ409" t="s">
        <v>72</v>
      </c>
      <c r="AK409" t="s">
        <v>62</v>
      </c>
      <c r="AL409" t="s">
        <v>62</v>
      </c>
      <c r="AM409" t="s">
        <v>63</v>
      </c>
      <c r="AN409" t="s">
        <v>64</v>
      </c>
      <c r="AO409" t="s">
        <v>79</v>
      </c>
      <c r="AP409" t="s">
        <v>75</v>
      </c>
    </row>
    <row r="410" spans="1:42" x14ac:dyDescent="0.25">
      <c r="A410" t="str">
        <f>HYPERLINK("HTTP://10.0.1.74/krs/705/detail","/krs/705")</f>
        <v>/krs/705</v>
      </c>
      <c r="B410">
        <v>705</v>
      </c>
      <c r="C410" t="s">
        <v>567</v>
      </c>
      <c r="D410" t="s">
        <v>310</v>
      </c>
      <c r="E410" t="s">
        <v>54</v>
      </c>
      <c r="F410" t="s">
        <v>568</v>
      </c>
      <c r="G410" s="1">
        <v>43235</v>
      </c>
      <c r="H410" t="s">
        <v>294</v>
      </c>
      <c r="I410" t="s">
        <v>51</v>
      </c>
      <c r="J410" t="s">
        <v>569</v>
      </c>
      <c r="K410" s="3">
        <v>677</v>
      </c>
      <c r="L410" s="3">
        <v>107</v>
      </c>
      <c r="M410" s="3">
        <v>784</v>
      </c>
      <c r="N410" s="4">
        <v>0.86</v>
      </c>
      <c r="O410" s="3">
        <v>49</v>
      </c>
      <c r="P410" s="3"/>
      <c r="Q410" s="3">
        <v>44</v>
      </c>
      <c r="R410" s="3">
        <v>49</v>
      </c>
      <c r="S410" s="5">
        <v>4.3</v>
      </c>
      <c r="T410" s="5">
        <v>4.5999999999999996</v>
      </c>
      <c r="U410" s="4">
        <v>0.91</v>
      </c>
      <c r="V410" s="4">
        <v>0.86</v>
      </c>
      <c r="W410" s="4">
        <v>1</v>
      </c>
      <c r="X410" s="4">
        <v>0</v>
      </c>
      <c r="Y410" s="4">
        <v>0.9</v>
      </c>
      <c r="Z410" s="4">
        <v>0.14000000000000001</v>
      </c>
      <c r="AA410" s="3">
        <v>0</v>
      </c>
      <c r="AB410" s="3">
        <v>0</v>
      </c>
      <c r="AC410" s="5">
        <v>0</v>
      </c>
      <c r="AD410" s="4">
        <v>0</v>
      </c>
      <c r="AE410" s="4">
        <v>0</v>
      </c>
      <c r="AF410" s="4">
        <v>0</v>
      </c>
      <c r="AG410" s="4">
        <v>1</v>
      </c>
      <c r="AH410" s="4">
        <v>0.87</v>
      </c>
      <c r="AI410" s="4">
        <v>0</v>
      </c>
      <c r="AJ410" t="s">
        <v>72</v>
      </c>
      <c r="AK410" t="s">
        <v>62</v>
      </c>
      <c r="AL410" t="s">
        <v>62</v>
      </c>
      <c r="AM410" t="s">
        <v>63</v>
      </c>
      <c r="AN410" t="s">
        <v>64</v>
      </c>
      <c r="AO410" t="s">
        <v>79</v>
      </c>
      <c r="AP410" t="s">
        <v>75</v>
      </c>
    </row>
    <row r="411" spans="1:42" x14ac:dyDescent="0.25">
      <c r="A411" t="str">
        <f>HYPERLINK("HTTP://10.0.1.74/krs/706/detail","/krs/706")</f>
        <v>/krs/706</v>
      </c>
      <c r="B411">
        <v>706</v>
      </c>
      <c r="C411" t="s">
        <v>570</v>
      </c>
      <c r="D411" t="s">
        <v>435</v>
      </c>
      <c r="E411" t="s">
        <v>48</v>
      </c>
      <c r="F411" t="s">
        <v>453</v>
      </c>
      <c r="G411" s="1">
        <v>43215</v>
      </c>
      <c r="H411" t="s">
        <v>514</v>
      </c>
      <c r="I411" t="s">
        <v>51</v>
      </c>
      <c r="J411" t="s">
        <v>571</v>
      </c>
      <c r="K411" s="3">
        <v>362</v>
      </c>
      <c r="L411" s="3">
        <v>97</v>
      </c>
      <c r="M411" s="3">
        <v>459</v>
      </c>
      <c r="N411" s="4">
        <v>0.79</v>
      </c>
      <c r="O411" s="3">
        <v>27</v>
      </c>
      <c r="P411" s="3"/>
      <c r="Q411" s="3">
        <v>23</v>
      </c>
      <c r="R411" s="3">
        <v>25</v>
      </c>
      <c r="S411" s="5">
        <v>4.3</v>
      </c>
      <c r="T411" s="5">
        <v>3.9</v>
      </c>
      <c r="U411" s="4">
        <v>0.83</v>
      </c>
      <c r="V411" s="4">
        <v>0.79</v>
      </c>
      <c r="W411" s="4">
        <v>0.88</v>
      </c>
      <c r="X411" s="4">
        <v>0</v>
      </c>
      <c r="Y411" s="4">
        <v>0.92</v>
      </c>
      <c r="Z411" s="4">
        <v>0.21</v>
      </c>
      <c r="AA411" s="3">
        <v>0</v>
      </c>
      <c r="AB411" s="3">
        <v>0</v>
      </c>
      <c r="AC411" s="5">
        <v>0</v>
      </c>
      <c r="AD411" s="4">
        <v>0</v>
      </c>
      <c r="AE411" s="4">
        <v>0</v>
      </c>
      <c r="AF411" s="4">
        <v>0</v>
      </c>
      <c r="AG411" s="4">
        <v>1</v>
      </c>
      <c r="AH411" s="4">
        <v>0.88</v>
      </c>
      <c r="AI411" s="4">
        <v>0.62</v>
      </c>
      <c r="AJ411" t="s">
        <v>72</v>
      </c>
      <c r="AK411" t="s">
        <v>62</v>
      </c>
      <c r="AL411" t="s">
        <v>62</v>
      </c>
      <c r="AM411" t="s">
        <v>63</v>
      </c>
      <c r="AN411" t="s">
        <v>64</v>
      </c>
      <c r="AO411" t="s">
        <v>79</v>
      </c>
      <c r="AP411" t="s">
        <v>75</v>
      </c>
    </row>
    <row r="412" spans="1:42" x14ac:dyDescent="0.25">
      <c r="A412" t="str">
        <f>HYPERLINK("HTTP://10.0.1.74/krs/707/detail","/krs/707")</f>
        <v>/krs/707</v>
      </c>
      <c r="B412">
        <v>707</v>
      </c>
      <c r="C412" t="s">
        <v>354</v>
      </c>
      <c r="D412" t="s">
        <v>81</v>
      </c>
      <c r="E412" t="s">
        <v>135</v>
      </c>
      <c r="F412" t="s">
        <v>346</v>
      </c>
      <c r="G412" s="1">
        <v>43230</v>
      </c>
      <c r="H412" t="s">
        <v>137</v>
      </c>
      <c r="I412" t="s">
        <v>57</v>
      </c>
      <c r="J412" t="s">
        <v>572</v>
      </c>
      <c r="K412" s="3">
        <v>343</v>
      </c>
      <c r="L412" s="3">
        <v>411</v>
      </c>
      <c r="M412" s="3">
        <v>754</v>
      </c>
      <c r="N412" s="4">
        <v>0.45</v>
      </c>
      <c r="O412" s="3">
        <v>26</v>
      </c>
      <c r="P412" s="3"/>
      <c r="Q412" s="3">
        <v>3</v>
      </c>
      <c r="R412" s="3">
        <v>26</v>
      </c>
      <c r="S412" s="5">
        <v>2.5</v>
      </c>
      <c r="T412" s="5">
        <v>2.5</v>
      </c>
      <c r="U412" s="4">
        <v>0.49</v>
      </c>
      <c r="V412" s="4">
        <v>0.45</v>
      </c>
      <c r="W412" s="4">
        <v>0.5</v>
      </c>
      <c r="X412" s="4">
        <v>0</v>
      </c>
      <c r="Y412" s="4">
        <v>0.12</v>
      </c>
      <c r="Z412" s="4">
        <v>0.55000000000000004</v>
      </c>
      <c r="AA412" s="3">
        <v>0</v>
      </c>
      <c r="AB412" s="3">
        <v>0</v>
      </c>
      <c r="AC412" s="5">
        <v>0</v>
      </c>
      <c r="AD412" s="4">
        <v>0</v>
      </c>
      <c r="AE412" s="4">
        <v>0</v>
      </c>
      <c r="AF412" s="4">
        <v>0</v>
      </c>
      <c r="AG412" s="4">
        <v>1</v>
      </c>
      <c r="AH412" s="4">
        <v>0.42</v>
      </c>
      <c r="AI412" s="4">
        <v>0</v>
      </c>
      <c r="AJ412" t="s">
        <v>72</v>
      </c>
      <c r="AK412" t="s">
        <v>86</v>
      </c>
      <c r="AL412" t="s">
        <v>61</v>
      </c>
      <c r="AM412" t="s">
        <v>63</v>
      </c>
      <c r="AN412" t="s">
        <v>64</v>
      </c>
      <c r="AO412" t="s">
        <v>79</v>
      </c>
      <c r="AP412" t="s">
        <v>75</v>
      </c>
    </row>
    <row r="413" spans="1:42" x14ac:dyDescent="0.25">
      <c r="A413" t="str">
        <f>HYPERLINK("HTTP://10.0.1.74/krs/709/detail","/krs/709")</f>
        <v>/krs/709</v>
      </c>
      <c r="B413">
        <v>709</v>
      </c>
      <c r="C413" t="s">
        <v>46</v>
      </c>
      <c r="D413" t="s">
        <v>435</v>
      </c>
      <c r="E413" t="s">
        <v>48</v>
      </c>
      <c r="F413" t="s">
        <v>555</v>
      </c>
      <c r="G413" s="1">
        <v>43216</v>
      </c>
      <c r="H413" t="s">
        <v>556</v>
      </c>
      <c r="I413" t="s">
        <v>51</v>
      </c>
      <c r="J413" t="s">
        <v>481</v>
      </c>
      <c r="K413" s="3"/>
      <c r="L413" s="3"/>
      <c r="M413" s="3"/>
      <c r="N413" s="4"/>
      <c r="O413" s="3"/>
      <c r="P413" s="3"/>
      <c r="Q413" s="3"/>
      <c r="R413" s="3"/>
      <c r="S413" s="5"/>
      <c r="T413" s="5"/>
      <c r="U413" s="4"/>
      <c r="V413" s="4"/>
      <c r="W413" s="4"/>
      <c r="X413" s="4"/>
      <c r="Y413" s="4"/>
      <c r="Z413" s="4"/>
      <c r="AA413" s="3"/>
      <c r="AB413" s="3"/>
      <c r="AC413" s="5"/>
      <c r="AD413" s="4"/>
      <c r="AE413" s="4"/>
      <c r="AF413" s="4"/>
      <c r="AG413" s="4"/>
      <c r="AH413" s="4"/>
      <c r="AI413" s="4"/>
      <c r="AJ413" t="s">
        <v>52</v>
      </c>
      <c r="AK413" t="s">
        <v>52</v>
      </c>
      <c r="AL413" t="s">
        <v>52</v>
      </c>
      <c r="AM413" t="s">
        <v>52</v>
      </c>
      <c r="AN413" t="s">
        <v>52</v>
      </c>
      <c r="AO413" t="s">
        <v>52</v>
      </c>
      <c r="AP413" t="s">
        <v>52</v>
      </c>
    </row>
    <row r="414" spans="1:42" x14ac:dyDescent="0.25">
      <c r="A414" t="str">
        <f>HYPERLINK("HTTP://10.0.1.74/krs/710/detail","/krs/710")</f>
        <v>/krs/710</v>
      </c>
      <c r="B414">
        <v>710</v>
      </c>
      <c r="C414" t="s">
        <v>573</v>
      </c>
      <c r="D414" t="s">
        <v>310</v>
      </c>
      <c r="E414" t="s">
        <v>48</v>
      </c>
      <c r="F414" t="s">
        <v>453</v>
      </c>
      <c r="G414" s="1">
        <v>43256.867060335651</v>
      </c>
      <c r="H414" t="s">
        <v>514</v>
      </c>
      <c r="I414" t="s">
        <v>51</v>
      </c>
      <c r="J414" t="s">
        <v>566</v>
      </c>
      <c r="K414" s="3">
        <v>413</v>
      </c>
      <c r="L414" s="3">
        <v>115</v>
      </c>
      <c r="M414" s="3">
        <v>528</v>
      </c>
      <c r="N414" s="4">
        <v>0.78</v>
      </c>
      <c r="O414" s="3">
        <v>21</v>
      </c>
      <c r="P414" s="3"/>
      <c r="Q414" s="3">
        <v>17</v>
      </c>
      <c r="R414" s="3">
        <v>21</v>
      </c>
      <c r="S414" s="5">
        <v>4.2</v>
      </c>
      <c r="T414" s="5">
        <v>3.9</v>
      </c>
      <c r="U414" s="4">
        <v>0.78</v>
      </c>
      <c r="V414" s="4">
        <v>0.78</v>
      </c>
      <c r="W414" s="4">
        <v>1</v>
      </c>
      <c r="X414" s="4">
        <v>0</v>
      </c>
      <c r="Y414" s="4">
        <v>0.81</v>
      </c>
      <c r="Z414" s="4">
        <v>0.22</v>
      </c>
      <c r="AA414" s="3">
        <v>0</v>
      </c>
      <c r="AB414" s="3">
        <v>0</v>
      </c>
      <c r="AC414" s="5">
        <v>0</v>
      </c>
      <c r="AD414" s="4">
        <v>0</v>
      </c>
      <c r="AE414" s="4">
        <v>0</v>
      </c>
      <c r="AF414" s="4">
        <v>0</v>
      </c>
      <c r="AG414" s="4">
        <v>1</v>
      </c>
      <c r="AH414" s="4">
        <v>0.82</v>
      </c>
      <c r="AI414" s="4">
        <v>0.6</v>
      </c>
      <c r="AJ414" t="s">
        <v>72</v>
      </c>
      <c r="AK414" t="s">
        <v>62</v>
      </c>
      <c r="AL414" t="s">
        <v>62</v>
      </c>
      <c r="AM414" t="s">
        <v>63</v>
      </c>
      <c r="AN414" t="s">
        <v>64</v>
      </c>
      <c r="AO414" t="s">
        <v>79</v>
      </c>
      <c r="AP414" t="s">
        <v>75</v>
      </c>
    </row>
    <row r="415" spans="1:42" x14ac:dyDescent="0.25">
      <c r="A415" t="str">
        <f>HYPERLINK("HTTP://10.0.1.74/krs/713/detail","/krs/713")</f>
        <v>/krs/713</v>
      </c>
      <c r="B415">
        <v>713</v>
      </c>
      <c r="C415" t="s">
        <v>574</v>
      </c>
      <c r="D415" t="s">
        <v>228</v>
      </c>
      <c r="E415" t="s">
        <v>54</v>
      </c>
      <c r="F415" t="s">
        <v>575</v>
      </c>
      <c r="G415" s="1">
        <v>43235</v>
      </c>
      <c r="H415" t="s">
        <v>576</v>
      </c>
      <c r="I415" t="s">
        <v>51</v>
      </c>
      <c r="J415" t="s">
        <v>577</v>
      </c>
      <c r="K415" s="3">
        <v>429</v>
      </c>
      <c r="L415" s="3">
        <v>147</v>
      </c>
      <c r="M415" s="3">
        <v>576</v>
      </c>
      <c r="N415" s="4">
        <v>0.74</v>
      </c>
      <c r="O415" s="3">
        <v>24</v>
      </c>
      <c r="P415" s="3"/>
      <c r="Q415" s="3">
        <v>16</v>
      </c>
      <c r="R415" s="3">
        <v>24</v>
      </c>
      <c r="S415" s="5">
        <v>3.8</v>
      </c>
      <c r="T415" s="5">
        <v>3.8</v>
      </c>
      <c r="U415" s="4">
        <v>0.77</v>
      </c>
      <c r="V415" s="4">
        <v>0.74</v>
      </c>
      <c r="W415" s="4">
        <v>0.96</v>
      </c>
      <c r="X415" s="4">
        <v>0</v>
      </c>
      <c r="Y415" s="4">
        <v>0.67</v>
      </c>
      <c r="Z415" s="4">
        <v>0.26</v>
      </c>
      <c r="AA415" s="3">
        <v>0</v>
      </c>
      <c r="AB415" s="3">
        <v>0</v>
      </c>
      <c r="AC415" s="5">
        <v>0</v>
      </c>
      <c r="AD415" s="4">
        <v>0</v>
      </c>
      <c r="AE415" s="4">
        <v>0</v>
      </c>
      <c r="AF415" s="4">
        <v>0</v>
      </c>
      <c r="AG415" s="4">
        <v>1</v>
      </c>
      <c r="AH415" s="4">
        <v>0.76</v>
      </c>
      <c r="AI415" s="4">
        <v>0.67</v>
      </c>
      <c r="AJ415" t="s">
        <v>72</v>
      </c>
      <c r="AK415" t="s">
        <v>62</v>
      </c>
      <c r="AL415" t="s">
        <v>62</v>
      </c>
      <c r="AM415" t="s">
        <v>63</v>
      </c>
      <c r="AN415" t="s">
        <v>64</v>
      </c>
      <c r="AO415" t="s">
        <v>79</v>
      </c>
      <c r="AP415" t="s">
        <v>75</v>
      </c>
    </row>
    <row r="416" spans="1:42" x14ac:dyDescent="0.25">
      <c r="A416" t="str">
        <f>HYPERLINK("HTTP://10.0.1.74/krs/714/detail","/krs/714")</f>
        <v>/krs/714</v>
      </c>
      <c r="B416">
        <v>714</v>
      </c>
      <c r="C416" t="s">
        <v>578</v>
      </c>
      <c r="D416" t="s">
        <v>228</v>
      </c>
      <c r="E416" t="s">
        <v>54</v>
      </c>
      <c r="F416" t="s">
        <v>579</v>
      </c>
      <c r="G416" s="1">
        <v>43235</v>
      </c>
      <c r="H416" t="s">
        <v>576</v>
      </c>
      <c r="I416" t="s">
        <v>51</v>
      </c>
      <c r="J416" t="s">
        <v>569</v>
      </c>
      <c r="K416" s="3">
        <v>266</v>
      </c>
      <c r="L416" s="3">
        <v>102</v>
      </c>
      <c r="M416" s="3">
        <v>368</v>
      </c>
      <c r="N416" s="4">
        <v>0.72</v>
      </c>
      <c r="O416" s="3">
        <v>23</v>
      </c>
      <c r="P416" s="3"/>
      <c r="Q416" s="3">
        <v>14</v>
      </c>
      <c r="R416" s="3">
        <v>23</v>
      </c>
      <c r="S416" s="5">
        <v>3.7</v>
      </c>
      <c r="T416" s="5">
        <v>3.8</v>
      </c>
      <c r="U416" s="4">
        <v>0.76</v>
      </c>
      <c r="V416" s="4">
        <v>0.72</v>
      </c>
      <c r="W416" s="4">
        <v>0.96</v>
      </c>
      <c r="X416" s="4">
        <v>0</v>
      </c>
      <c r="Y416" s="4">
        <v>0.61</v>
      </c>
      <c r="Z416" s="4">
        <v>0.28000000000000003</v>
      </c>
      <c r="AA416" s="3">
        <v>0</v>
      </c>
      <c r="AB416" s="3">
        <v>0</v>
      </c>
      <c r="AC416" s="5">
        <v>0</v>
      </c>
      <c r="AD416" s="4">
        <v>0</v>
      </c>
      <c r="AE416" s="4">
        <v>0</v>
      </c>
      <c r="AF416" s="4">
        <v>0</v>
      </c>
      <c r="AG416" s="4">
        <v>1</v>
      </c>
      <c r="AH416" s="4">
        <v>0.74</v>
      </c>
      <c r="AI416" s="4">
        <v>0</v>
      </c>
      <c r="AJ416" t="s">
        <v>72</v>
      </c>
      <c r="AK416" t="s">
        <v>62</v>
      </c>
      <c r="AL416" t="s">
        <v>62</v>
      </c>
      <c r="AM416" t="s">
        <v>63</v>
      </c>
      <c r="AN416" t="s">
        <v>64</v>
      </c>
      <c r="AO416" t="s">
        <v>79</v>
      </c>
      <c r="AP416" t="s">
        <v>75</v>
      </c>
    </row>
    <row r="417" spans="1:42" x14ac:dyDescent="0.25">
      <c r="A417" t="str">
        <f>HYPERLINK("HTTP://10.0.1.74/krs/715/detail","/krs/715")</f>
        <v>/krs/715</v>
      </c>
      <c r="B417">
        <v>715</v>
      </c>
      <c r="C417" t="s">
        <v>580</v>
      </c>
      <c r="D417" t="s">
        <v>140</v>
      </c>
      <c r="E417" t="s">
        <v>54</v>
      </c>
      <c r="F417" t="s">
        <v>270</v>
      </c>
      <c r="G417" s="1">
        <v>43257</v>
      </c>
      <c r="H417" t="s">
        <v>56</v>
      </c>
      <c r="I417" t="s">
        <v>57</v>
      </c>
      <c r="J417" t="s">
        <v>581</v>
      </c>
      <c r="K417" s="3">
        <v>3058</v>
      </c>
      <c r="L417" s="3">
        <v>704</v>
      </c>
      <c r="M417" s="3">
        <v>3762</v>
      </c>
      <c r="N417" s="4">
        <v>0.81</v>
      </c>
      <c r="O417" s="3">
        <v>66</v>
      </c>
      <c r="P417" s="3"/>
      <c r="Q417" s="3">
        <v>57</v>
      </c>
      <c r="R417" s="3">
        <v>66</v>
      </c>
      <c r="S417" s="5">
        <v>4.0999999999999996</v>
      </c>
      <c r="T417" s="5">
        <v>4.0999999999999996</v>
      </c>
      <c r="U417" s="4">
        <v>0.82</v>
      </c>
      <c r="V417" s="4">
        <v>0.81</v>
      </c>
      <c r="W417" s="4">
        <v>1</v>
      </c>
      <c r="X417" s="4">
        <v>1.03</v>
      </c>
      <c r="Y417" s="4">
        <v>0.86</v>
      </c>
      <c r="Z417" s="4">
        <v>0.19</v>
      </c>
      <c r="AA417" s="3">
        <v>65</v>
      </c>
      <c r="AB417" s="3">
        <v>46</v>
      </c>
      <c r="AC417" s="5">
        <v>3.9</v>
      </c>
      <c r="AD417" s="4">
        <v>1</v>
      </c>
      <c r="AE417" s="4">
        <v>0.79</v>
      </c>
      <c r="AF417" s="4">
        <v>0.71</v>
      </c>
      <c r="AG417" s="4">
        <v>0.21</v>
      </c>
      <c r="AH417" s="4">
        <v>0.83</v>
      </c>
      <c r="AI417" s="4">
        <v>0.77</v>
      </c>
      <c r="AJ417" t="s">
        <v>72</v>
      </c>
      <c r="AK417" t="s">
        <v>62</v>
      </c>
      <c r="AL417" t="s">
        <v>62</v>
      </c>
      <c r="AM417" t="s">
        <v>63</v>
      </c>
      <c r="AN417" t="s">
        <v>64</v>
      </c>
      <c r="AO417" t="s">
        <v>79</v>
      </c>
      <c r="AP417" t="s">
        <v>66</v>
      </c>
    </row>
    <row r="418" spans="1:42" x14ac:dyDescent="0.25">
      <c r="A418" t="str">
        <f>HYPERLINK("HTTP://10.0.1.74/krs/717/detail","/krs/717")</f>
        <v>/krs/717</v>
      </c>
      <c r="B418">
        <v>717</v>
      </c>
      <c r="C418" t="s">
        <v>582</v>
      </c>
      <c r="D418" t="s">
        <v>140</v>
      </c>
      <c r="E418" t="s">
        <v>54</v>
      </c>
      <c r="F418" t="s">
        <v>126</v>
      </c>
      <c r="G418" s="1">
        <v>43280</v>
      </c>
      <c r="H418" t="s">
        <v>56</v>
      </c>
      <c r="I418" t="s">
        <v>57</v>
      </c>
      <c r="J418" t="s">
        <v>583</v>
      </c>
      <c r="K418" s="3">
        <v>2698</v>
      </c>
      <c r="L418" s="3">
        <v>188</v>
      </c>
      <c r="M418" s="3">
        <v>2886</v>
      </c>
      <c r="N418" s="4">
        <v>0.93</v>
      </c>
      <c r="O418" s="3">
        <v>74</v>
      </c>
      <c r="P418" s="3"/>
      <c r="Q418" s="3">
        <v>71</v>
      </c>
      <c r="R418" s="3">
        <v>74</v>
      </c>
      <c r="S418" s="5">
        <v>4.8</v>
      </c>
      <c r="T418" s="5">
        <v>4.8</v>
      </c>
      <c r="U418" s="4">
        <v>0.95</v>
      </c>
      <c r="V418" s="4">
        <v>0.93</v>
      </c>
      <c r="W418" s="4">
        <v>1</v>
      </c>
      <c r="X418" s="4">
        <v>1.21</v>
      </c>
      <c r="Y418" s="4">
        <v>0.96</v>
      </c>
      <c r="Z418" s="4">
        <v>7.0000000000000007E-2</v>
      </c>
      <c r="AA418" s="3">
        <v>47</v>
      </c>
      <c r="AB418" s="3">
        <v>25</v>
      </c>
      <c r="AC418" s="5">
        <v>3.8</v>
      </c>
      <c r="AD418" s="4">
        <v>0.96</v>
      </c>
      <c r="AE418" s="4">
        <v>0.77</v>
      </c>
      <c r="AF418" s="4">
        <v>0.53</v>
      </c>
      <c r="AG418" s="4">
        <v>0.23</v>
      </c>
      <c r="AH418" s="4">
        <v>0.91</v>
      </c>
      <c r="AI418" s="4">
        <v>0.98</v>
      </c>
      <c r="AJ418" t="s">
        <v>72</v>
      </c>
      <c r="AK418" t="s">
        <v>62</v>
      </c>
      <c r="AL418" t="s">
        <v>62</v>
      </c>
      <c r="AM418" t="s">
        <v>63</v>
      </c>
      <c r="AN418" t="s">
        <v>64</v>
      </c>
      <c r="AO418" t="s">
        <v>79</v>
      </c>
      <c r="AP418" t="s">
        <v>66</v>
      </c>
    </row>
    <row r="419" spans="1:42" x14ac:dyDescent="0.25">
      <c r="A419" t="str">
        <f>HYPERLINK("HTTP://10.0.1.74/krs/718/detail","/krs/718")</f>
        <v>/krs/718</v>
      </c>
      <c r="B419">
        <v>718</v>
      </c>
      <c r="C419" t="s">
        <v>93</v>
      </c>
      <c r="D419" t="s">
        <v>140</v>
      </c>
      <c r="E419" t="s">
        <v>98</v>
      </c>
      <c r="F419" t="s">
        <v>126</v>
      </c>
      <c r="G419" s="1">
        <v>43246</v>
      </c>
      <c r="H419" t="s">
        <v>190</v>
      </c>
      <c r="I419" t="s">
        <v>51</v>
      </c>
      <c r="K419" s="3">
        <v>711</v>
      </c>
      <c r="L419" s="3">
        <v>129</v>
      </c>
      <c r="M419" s="3">
        <v>840</v>
      </c>
      <c r="N419" s="4">
        <v>0.85</v>
      </c>
      <c r="O419" s="3">
        <v>12</v>
      </c>
      <c r="P419" s="3"/>
      <c r="Q419" s="3">
        <v>12</v>
      </c>
      <c r="R419" s="3">
        <v>12</v>
      </c>
      <c r="S419" s="5">
        <v>4.0999999999999996</v>
      </c>
      <c r="T419" s="5">
        <v>4.8</v>
      </c>
      <c r="U419" s="4">
        <v>0.95</v>
      </c>
      <c r="V419" s="4">
        <v>0.85</v>
      </c>
      <c r="W419" s="4">
        <v>1</v>
      </c>
      <c r="X419" s="4">
        <v>0.93</v>
      </c>
      <c r="Y419" s="4">
        <v>1</v>
      </c>
      <c r="Z419" s="4">
        <v>0.15</v>
      </c>
      <c r="AA419" s="3">
        <v>7</v>
      </c>
      <c r="AB419" s="3">
        <v>7</v>
      </c>
      <c r="AC419" s="5">
        <v>4.5999999999999996</v>
      </c>
      <c r="AD419" s="4">
        <v>1</v>
      </c>
      <c r="AE419" s="4">
        <v>0.91</v>
      </c>
      <c r="AF419" s="4">
        <v>1</v>
      </c>
      <c r="AG419" s="4">
        <v>0.09</v>
      </c>
      <c r="AH419" s="4">
        <v>0.8</v>
      </c>
      <c r="AI419" s="4">
        <v>0.84</v>
      </c>
      <c r="AJ419" t="s">
        <v>60</v>
      </c>
      <c r="AK419" t="s">
        <v>62</v>
      </c>
      <c r="AL419" t="s">
        <v>62</v>
      </c>
      <c r="AM419" t="s">
        <v>104</v>
      </c>
      <c r="AN419" t="s">
        <v>97</v>
      </c>
      <c r="AO419" t="s">
        <v>65</v>
      </c>
      <c r="AP419" t="s">
        <v>66</v>
      </c>
    </row>
    <row r="420" spans="1:42" x14ac:dyDescent="0.25">
      <c r="A420" t="str">
        <f>HYPERLINK("HTTP://10.0.1.74/krs/719/detail","/krs/719")</f>
        <v>/krs/719</v>
      </c>
      <c r="B420">
        <v>719</v>
      </c>
      <c r="C420" t="s">
        <v>93</v>
      </c>
      <c r="D420" t="s">
        <v>140</v>
      </c>
      <c r="E420" t="s">
        <v>98</v>
      </c>
      <c r="F420" t="s">
        <v>126</v>
      </c>
      <c r="G420" s="1">
        <v>43273.487280092595</v>
      </c>
      <c r="H420" t="s">
        <v>146</v>
      </c>
      <c r="I420" t="s">
        <v>51</v>
      </c>
      <c r="J420" t="s">
        <v>584</v>
      </c>
      <c r="K420" s="3">
        <v>711</v>
      </c>
      <c r="L420" s="3">
        <v>129</v>
      </c>
      <c r="M420" s="3">
        <v>840</v>
      </c>
      <c r="N420" s="4">
        <v>0.85</v>
      </c>
      <c r="O420" s="3">
        <v>12</v>
      </c>
      <c r="P420" s="3"/>
      <c r="Q420" s="3">
        <v>12</v>
      </c>
      <c r="R420" s="3">
        <v>12</v>
      </c>
      <c r="S420" s="5">
        <v>4.0999999999999996</v>
      </c>
      <c r="T420" s="5">
        <v>4.8</v>
      </c>
      <c r="U420" s="4">
        <v>0.95</v>
      </c>
      <c r="V420" s="4">
        <v>0.85</v>
      </c>
      <c r="W420" s="4">
        <v>1</v>
      </c>
      <c r="X420" s="4">
        <v>0.93</v>
      </c>
      <c r="Y420" s="4">
        <v>1</v>
      </c>
      <c r="Z420" s="4">
        <v>0.15</v>
      </c>
      <c r="AA420" s="3">
        <v>7</v>
      </c>
      <c r="AB420" s="3">
        <v>7</v>
      </c>
      <c r="AC420" s="5">
        <v>4.5999999999999996</v>
      </c>
      <c r="AD420" s="4">
        <v>1</v>
      </c>
      <c r="AE420" s="4">
        <v>0.91</v>
      </c>
      <c r="AF420" s="4">
        <v>1</v>
      </c>
      <c r="AG420" s="4">
        <v>0.09</v>
      </c>
      <c r="AH420" s="4">
        <v>0.8</v>
      </c>
      <c r="AI420" s="4">
        <v>0.84</v>
      </c>
      <c r="AJ420" t="s">
        <v>60</v>
      </c>
      <c r="AK420" t="s">
        <v>62</v>
      </c>
      <c r="AL420" t="s">
        <v>62</v>
      </c>
      <c r="AM420" t="s">
        <v>104</v>
      </c>
      <c r="AN420" t="s">
        <v>97</v>
      </c>
      <c r="AO420" t="s">
        <v>65</v>
      </c>
      <c r="AP420" t="s">
        <v>66</v>
      </c>
    </row>
    <row r="421" spans="1:42" x14ac:dyDescent="0.25">
      <c r="A421" t="str">
        <f>HYPERLINK("HTTP://10.0.1.74/krs/720/detail","/krs/720")</f>
        <v>/krs/720</v>
      </c>
      <c r="B421">
        <v>720</v>
      </c>
      <c r="C421" t="s">
        <v>582</v>
      </c>
      <c r="D421" t="s">
        <v>140</v>
      </c>
      <c r="E421" t="s">
        <v>125</v>
      </c>
      <c r="F421" t="s">
        <v>116</v>
      </c>
      <c r="G421" s="1">
        <v>43255</v>
      </c>
      <c r="H421" t="s">
        <v>127</v>
      </c>
      <c r="I421" t="s">
        <v>51</v>
      </c>
      <c r="K421" s="3">
        <v>621</v>
      </c>
      <c r="L421" s="3">
        <v>459</v>
      </c>
      <c r="M421" s="3">
        <v>1080</v>
      </c>
      <c r="N421" s="4">
        <v>0.56999999999999995</v>
      </c>
      <c r="O421" s="3">
        <v>18</v>
      </c>
      <c r="P421" s="3"/>
      <c r="Q421" s="3">
        <v>7</v>
      </c>
      <c r="R421" s="3">
        <v>18</v>
      </c>
      <c r="S421" s="5">
        <v>3.1</v>
      </c>
      <c r="T421" s="5">
        <v>3.2</v>
      </c>
      <c r="U421" s="4">
        <v>0.64</v>
      </c>
      <c r="V421" s="4">
        <v>0.56999999999999995</v>
      </c>
      <c r="W421" s="4">
        <v>0.67</v>
      </c>
      <c r="X421" s="4">
        <v>0.7</v>
      </c>
      <c r="Y421" s="4">
        <v>0.39</v>
      </c>
      <c r="Z421" s="4">
        <v>0.43</v>
      </c>
      <c r="AA421" s="3">
        <v>17</v>
      </c>
      <c r="AB421" s="3">
        <v>13</v>
      </c>
      <c r="AC421" s="5">
        <v>4.0999999999999996</v>
      </c>
      <c r="AD421" s="4">
        <v>1</v>
      </c>
      <c r="AE421" s="4">
        <v>0.82</v>
      </c>
      <c r="AF421" s="4">
        <v>0.76</v>
      </c>
      <c r="AG421" s="4">
        <v>0.18</v>
      </c>
      <c r="AH421" s="4">
        <v>0.67</v>
      </c>
      <c r="AI421" s="4">
        <v>0.56000000000000005</v>
      </c>
      <c r="AJ421" t="s">
        <v>72</v>
      </c>
      <c r="AK421" t="s">
        <v>86</v>
      </c>
      <c r="AL421" t="s">
        <v>61</v>
      </c>
      <c r="AM421" t="s">
        <v>73</v>
      </c>
      <c r="AN421" t="s">
        <v>64</v>
      </c>
      <c r="AO421" t="s">
        <v>74</v>
      </c>
      <c r="AP421" t="s">
        <v>75</v>
      </c>
    </row>
    <row r="422" spans="1:42" x14ac:dyDescent="0.25">
      <c r="A422" t="str">
        <f>HYPERLINK("HTTP://10.0.1.74/krs/721/detail","/krs/721")</f>
        <v>/krs/721</v>
      </c>
      <c r="B422">
        <v>721</v>
      </c>
      <c r="C422" t="s">
        <v>585</v>
      </c>
      <c r="D422" t="s">
        <v>140</v>
      </c>
      <c r="E422" t="s">
        <v>98</v>
      </c>
      <c r="F422" t="s">
        <v>126</v>
      </c>
      <c r="G422" s="1">
        <v>43273.860069444447</v>
      </c>
      <c r="H422" t="s">
        <v>146</v>
      </c>
      <c r="I422" t="s">
        <v>51</v>
      </c>
      <c r="J422" t="s">
        <v>586</v>
      </c>
      <c r="K422" s="3">
        <v>711</v>
      </c>
      <c r="L422" s="3">
        <v>129</v>
      </c>
      <c r="M422" s="3">
        <v>840</v>
      </c>
      <c r="N422" s="4">
        <v>0.85</v>
      </c>
      <c r="O422" s="3">
        <v>12</v>
      </c>
      <c r="P422" s="3"/>
      <c r="Q422" s="3">
        <v>12</v>
      </c>
      <c r="R422" s="3">
        <v>12</v>
      </c>
      <c r="S422" s="5">
        <v>4.0999999999999996</v>
      </c>
      <c r="T422" s="5">
        <v>4.8</v>
      </c>
      <c r="U422" s="4">
        <v>0.95</v>
      </c>
      <c r="V422" s="4">
        <v>0.85</v>
      </c>
      <c r="W422" s="4">
        <v>1</v>
      </c>
      <c r="X422" s="4">
        <v>0.93</v>
      </c>
      <c r="Y422" s="4">
        <v>1</v>
      </c>
      <c r="Z422" s="4">
        <v>0.15</v>
      </c>
      <c r="AA422" s="3">
        <v>7</v>
      </c>
      <c r="AB422" s="3">
        <v>7</v>
      </c>
      <c r="AC422" s="5">
        <v>4.5999999999999996</v>
      </c>
      <c r="AD422" s="4">
        <v>1</v>
      </c>
      <c r="AE422" s="4">
        <v>0.91</v>
      </c>
      <c r="AF422" s="4">
        <v>1</v>
      </c>
      <c r="AG422" s="4">
        <v>0.09</v>
      </c>
      <c r="AH422" s="4">
        <v>0.8</v>
      </c>
      <c r="AI422" s="4">
        <v>0.84</v>
      </c>
      <c r="AJ422" t="s">
        <v>60</v>
      </c>
      <c r="AK422" t="s">
        <v>62</v>
      </c>
      <c r="AL422" t="s">
        <v>62</v>
      </c>
      <c r="AM422" t="s">
        <v>104</v>
      </c>
      <c r="AN422" t="s">
        <v>97</v>
      </c>
      <c r="AO422" t="s">
        <v>65</v>
      </c>
      <c r="AP422" t="s">
        <v>66</v>
      </c>
    </row>
    <row r="423" spans="1:42" x14ac:dyDescent="0.25">
      <c r="A423" t="str">
        <f>HYPERLINK("HTTP://10.0.1.74/krs/723/detail","/krs/723")</f>
        <v>/krs/723</v>
      </c>
      <c r="B423">
        <v>723</v>
      </c>
      <c r="C423" t="s">
        <v>587</v>
      </c>
      <c r="D423" t="s">
        <v>140</v>
      </c>
      <c r="E423" t="s">
        <v>125</v>
      </c>
      <c r="F423" t="s">
        <v>126</v>
      </c>
      <c r="G423" s="1">
        <v>43258</v>
      </c>
      <c r="H423" t="s">
        <v>127</v>
      </c>
      <c r="I423" t="s">
        <v>51</v>
      </c>
      <c r="K423" s="3">
        <v>391</v>
      </c>
      <c r="L423" s="3">
        <v>119</v>
      </c>
      <c r="M423" s="3">
        <v>510</v>
      </c>
      <c r="N423" s="4">
        <v>0.77</v>
      </c>
      <c r="O423" s="3">
        <v>15</v>
      </c>
      <c r="P423" s="3"/>
      <c r="Q423" s="3">
        <v>14</v>
      </c>
      <c r="R423" s="3">
        <v>15</v>
      </c>
      <c r="S423" s="5">
        <v>3.9</v>
      </c>
      <c r="T423" s="5">
        <v>4.4000000000000004</v>
      </c>
      <c r="U423" s="4">
        <v>0.88</v>
      </c>
      <c r="V423" s="4">
        <v>0.77</v>
      </c>
      <c r="W423" s="4">
        <v>1</v>
      </c>
      <c r="X423" s="4">
        <v>0.88</v>
      </c>
      <c r="Y423" s="4">
        <v>0.93</v>
      </c>
      <c r="Z423" s="4">
        <v>0.23</v>
      </c>
      <c r="AA423" s="3">
        <v>11</v>
      </c>
      <c r="AB423" s="3">
        <v>9</v>
      </c>
      <c r="AC423" s="5">
        <v>4.4000000000000004</v>
      </c>
      <c r="AD423" s="4">
        <v>1</v>
      </c>
      <c r="AE423" s="4">
        <v>0.88</v>
      </c>
      <c r="AF423" s="4">
        <v>0.82</v>
      </c>
      <c r="AG423" s="4">
        <v>0.12</v>
      </c>
      <c r="AH423" s="4">
        <v>0.85</v>
      </c>
      <c r="AI423" s="4">
        <v>0.73</v>
      </c>
      <c r="AJ423" t="s">
        <v>60</v>
      </c>
      <c r="AK423" t="s">
        <v>62</v>
      </c>
      <c r="AL423" t="s">
        <v>62</v>
      </c>
      <c r="AM423" t="s">
        <v>73</v>
      </c>
      <c r="AN423" t="s">
        <v>64</v>
      </c>
      <c r="AO423" t="s">
        <v>74</v>
      </c>
      <c r="AP423" t="s">
        <v>75</v>
      </c>
    </row>
    <row r="424" spans="1:42" x14ac:dyDescent="0.25">
      <c r="A424" t="str">
        <f>HYPERLINK("HTTP://10.0.1.74/krs/724/detail","/krs/724")</f>
        <v>/krs/724</v>
      </c>
      <c r="B424">
        <v>724</v>
      </c>
      <c r="C424" t="s">
        <v>588</v>
      </c>
      <c r="D424" t="s">
        <v>140</v>
      </c>
      <c r="E424" t="s">
        <v>87</v>
      </c>
      <c r="F424" t="s">
        <v>126</v>
      </c>
      <c r="G424" s="1">
        <v>43274.381365740737</v>
      </c>
      <c r="H424" t="s">
        <v>88</v>
      </c>
      <c r="I424" t="s">
        <v>57</v>
      </c>
      <c r="J424" t="s">
        <v>589</v>
      </c>
      <c r="K424" s="3">
        <v>514</v>
      </c>
      <c r="L424" s="3">
        <v>222</v>
      </c>
      <c r="M424" s="3">
        <v>736</v>
      </c>
      <c r="N424" s="4">
        <v>0.7</v>
      </c>
      <c r="O424" s="3">
        <v>16</v>
      </c>
      <c r="P424" s="3"/>
      <c r="Q424" s="3">
        <v>16</v>
      </c>
      <c r="R424" s="3">
        <v>16</v>
      </c>
      <c r="S424" s="5">
        <v>3.5</v>
      </c>
      <c r="T424" s="5">
        <v>4.2</v>
      </c>
      <c r="U424" s="4">
        <v>0.84</v>
      </c>
      <c r="V424" s="4">
        <v>0.7</v>
      </c>
      <c r="W424" s="4">
        <v>1</v>
      </c>
      <c r="X424" s="4">
        <v>0.79</v>
      </c>
      <c r="Y424" s="4">
        <v>1</v>
      </c>
      <c r="Z424" s="4">
        <v>0.3</v>
      </c>
      <c r="AA424" s="3">
        <v>12</v>
      </c>
      <c r="AB424" s="3">
        <v>9</v>
      </c>
      <c r="AC424" s="5">
        <v>4.4000000000000004</v>
      </c>
      <c r="AD424" s="4">
        <v>1</v>
      </c>
      <c r="AE424" s="4">
        <v>0.89</v>
      </c>
      <c r="AF424" s="4">
        <v>0.75</v>
      </c>
      <c r="AG424" s="4">
        <v>0.11</v>
      </c>
      <c r="AH424" s="4">
        <v>0.74</v>
      </c>
      <c r="AI424" s="4">
        <v>0.66</v>
      </c>
      <c r="AJ424" t="s">
        <v>60</v>
      </c>
      <c r="AK424" t="s">
        <v>62</v>
      </c>
      <c r="AL424" t="s">
        <v>62</v>
      </c>
      <c r="AM424" t="s">
        <v>73</v>
      </c>
      <c r="AN424" t="s">
        <v>64</v>
      </c>
      <c r="AO424" t="s">
        <v>74</v>
      </c>
      <c r="AP424" t="s">
        <v>75</v>
      </c>
    </row>
    <row r="425" spans="1:42" x14ac:dyDescent="0.25">
      <c r="A425" t="str">
        <f>HYPERLINK("HTTP://10.0.1.74/krs/725/detail","/krs/725")</f>
        <v>/krs/725</v>
      </c>
      <c r="B425">
        <v>725</v>
      </c>
      <c r="C425" t="s">
        <v>590</v>
      </c>
      <c r="D425" t="s">
        <v>140</v>
      </c>
      <c r="E425" t="s">
        <v>68</v>
      </c>
      <c r="F425" t="s">
        <v>126</v>
      </c>
      <c r="G425" s="1">
        <v>43257</v>
      </c>
      <c r="H425" t="s">
        <v>70</v>
      </c>
      <c r="I425" t="s">
        <v>51</v>
      </c>
      <c r="J425" t="s">
        <v>591</v>
      </c>
      <c r="K425" s="3">
        <v>1498</v>
      </c>
      <c r="L425" s="3">
        <v>870</v>
      </c>
      <c r="M425" s="3">
        <v>2368</v>
      </c>
      <c r="N425" s="4">
        <v>0.63</v>
      </c>
      <c r="O425" s="3">
        <v>74</v>
      </c>
      <c r="P425" s="3"/>
      <c r="Q425" s="3">
        <v>71</v>
      </c>
      <c r="R425" s="3">
        <v>74</v>
      </c>
      <c r="S425" s="5">
        <v>3.2</v>
      </c>
      <c r="T425" s="5">
        <v>4.3</v>
      </c>
      <c r="U425" s="4">
        <v>0.86</v>
      </c>
      <c r="V425" s="4">
        <v>0.63</v>
      </c>
      <c r="W425" s="4">
        <v>0.99</v>
      </c>
      <c r="X425" s="4">
        <v>0.8</v>
      </c>
      <c r="Y425" s="4">
        <v>0.96</v>
      </c>
      <c r="Z425" s="4">
        <v>0.37</v>
      </c>
      <c r="AA425" s="3">
        <v>47</v>
      </c>
      <c r="AB425" s="3">
        <v>28</v>
      </c>
      <c r="AC425" s="5">
        <v>3.9</v>
      </c>
      <c r="AD425" s="4">
        <v>1</v>
      </c>
      <c r="AE425" s="4">
        <v>0.79</v>
      </c>
      <c r="AF425" s="4">
        <v>0.6</v>
      </c>
      <c r="AG425" s="4">
        <v>0.21</v>
      </c>
      <c r="AH425" s="4">
        <v>0.9</v>
      </c>
      <c r="AI425" s="4">
        <v>0.18</v>
      </c>
      <c r="AJ425" t="s">
        <v>60</v>
      </c>
      <c r="AK425" t="s">
        <v>61</v>
      </c>
      <c r="AL425" t="s">
        <v>62</v>
      </c>
      <c r="AM425" t="s">
        <v>73</v>
      </c>
      <c r="AN425" t="s">
        <v>64</v>
      </c>
      <c r="AO425" t="s">
        <v>74</v>
      </c>
      <c r="AP425" t="s">
        <v>75</v>
      </c>
    </row>
    <row r="426" spans="1:42" x14ac:dyDescent="0.25">
      <c r="A426" t="str">
        <f>HYPERLINK("HTTP://10.0.1.74/krs/726/detail","/krs/726")</f>
        <v>/krs/726</v>
      </c>
      <c r="B426">
        <v>726</v>
      </c>
      <c r="C426" t="s">
        <v>592</v>
      </c>
      <c r="D426" t="s">
        <v>140</v>
      </c>
      <c r="E426" t="s">
        <v>157</v>
      </c>
      <c r="F426" t="s">
        <v>126</v>
      </c>
      <c r="G426" s="1">
        <v>43251</v>
      </c>
      <c r="H426" t="s">
        <v>158</v>
      </c>
      <c r="I426" t="s">
        <v>51</v>
      </c>
      <c r="J426" t="s">
        <v>52</v>
      </c>
      <c r="K426" s="3">
        <v>433</v>
      </c>
      <c r="L426" s="3">
        <v>117</v>
      </c>
      <c r="M426" s="3">
        <v>550</v>
      </c>
      <c r="N426" s="4">
        <v>0.79</v>
      </c>
      <c r="O426" s="3">
        <v>25</v>
      </c>
      <c r="P426" s="3"/>
      <c r="Q426" s="3">
        <v>23</v>
      </c>
      <c r="R426" s="3">
        <v>25</v>
      </c>
      <c r="S426" s="5">
        <v>3.9</v>
      </c>
      <c r="T426" s="5">
        <v>4.5</v>
      </c>
      <c r="U426" s="4">
        <v>0.9</v>
      </c>
      <c r="V426" s="4">
        <v>0.79</v>
      </c>
      <c r="W426" s="4">
        <v>1</v>
      </c>
      <c r="X426" s="4">
        <v>1</v>
      </c>
      <c r="Y426" s="4">
        <v>0.92</v>
      </c>
      <c r="Z426" s="4">
        <v>0.21</v>
      </c>
      <c r="AA426" s="3">
        <v>13</v>
      </c>
      <c r="AB426" s="3">
        <v>7</v>
      </c>
      <c r="AC426" s="5">
        <v>4</v>
      </c>
      <c r="AD426" s="4">
        <v>1</v>
      </c>
      <c r="AE426" s="4">
        <v>0.79</v>
      </c>
      <c r="AF426" s="4">
        <v>0.54</v>
      </c>
      <c r="AG426" s="4">
        <v>0.21</v>
      </c>
      <c r="AH426" s="4">
        <v>0.83</v>
      </c>
      <c r="AI426" s="4">
        <v>0.76</v>
      </c>
      <c r="AJ426" t="s">
        <v>60</v>
      </c>
      <c r="AK426" t="s">
        <v>62</v>
      </c>
      <c r="AL426" t="s">
        <v>62</v>
      </c>
      <c r="AM426" t="s">
        <v>63</v>
      </c>
      <c r="AN426" t="s">
        <v>64</v>
      </c>
      <c r="AO426" t="s">
        <v>79</v>
      </c>
      <c r="AP426" t="s">
        <v>66</v>
      </c>
    </row>
    <row r="427" spans="1:42" x14ac:dyDescent="0.25">
      <c r="A427" t="str">
        <f>HYPERLINK("HTTP://10.0.1.74/krs/727/detail","/krs/727")</f>
        <v>/krs/727</v>
      </c>
      <c r="B427">
        <v>727</v>
      </c>
      <c r="C427" t="s">
        <v>593</v>
      </c>
      <c r="D427" t="s">
        <v>140</v>
      </c>
      <c r="E427" t="s">
        <v>157</v>
      </c>
      <c r="F427" t="s">
        <v>55</v>
      </c>
      <c r="G427" s="1">
        <v>43248</v>
      </c>
      <c r="H427" t="s">
        <v>158</v>
      </c>
      <c r="I427" t="s">
        <v>51</v>
      </c>
      <c r="K427" s="3">
        <v>195</v>
      </c>
      <c r="L427" s="3">
        <v>155</v>
      </c>
      <c r="M427" s="3">
        <v>350</v>
      </c>
      <c r="N427" s="4">
        <v>0.56000000000000005</v>
      </c>
      <c r="O427" s="3">
        <v>10</v>
      </c>
      <c r="P427" s="3"/>
      <c r="Q427" s="3">
        <v>10</v>
      </c>
      <c r="R427" s="3">
        <v>10</v>
      </c>
      <c r="S427" s="5">
        <v>2.8</v>
      </c>
      <c r="T427" s="5">
        <v>4.2</v>
      </c>
      <c r="U427" s="4">
        <v>0.84</v>
      </c>
      <c r="V427" s="4">
        <v>0.56000000000000005</v>
      </c>
      <c r="W427" s="4">
        <v>1</v>
      </c>
      <c r="X427" s="4">
        <v>0.7</v>
      </c>
      <c r="Y427" s="4">
        <v>1</v>
      </c>
      <c r="Z427" s="4">
        <v>0.44</v>
      </c>
      <c r="AA427" s="3">
        <v>10</v>
      </c>
      <c r="AB427" s="3">
        <v>10</v>
      </c>
      <c r="AC427" s="5">
        <v>4</v>
      </c>
      <c r="AD427" s="4">
        <v>1</v>
      </c>
      <c r="AE427" s="4">
        <v>0.8</v>
      </c>
      <c r="AF427" s="4">
        <v>1</v>
      </c>
      <c r="AG427" s="4">
        <v>0.2</v>
      </c>
      <c r="AH427" s="4">
        <v>0.7</v>
      </c>
      <c r="AI427" s="4">
        <v>0.55000000000000004</v>
      </c>
      <c r="AJ427" t="s">
        <v>60</v>
      </c>
      <c r="AK427" t="s">
        <v>86</v>
      </c>
      <c r="AL427" t="s">
        <v>62</v>
      </c>
      <c r="AM427" t="s">
        <v>73</v>
      </c>
      <c r="AN427" t="s">
        <v>97</v>
      </c>
      <c r="AO427" t="s">
        <v>74</v>
      </c>
      <c r="AP427" t="s">
        <v>75</v>
      </c>
    </row>
    <row r="428" spans="1:42" x14ac:dyDescent="0.25">
      <c r="A428" t="str">
        <f>HYPERLINK("HTTP://10.0.1.74/krs/729/detail","/krs/729")</f>
        <v>/krs/729</v>
      </c>
      <c r="B428">
        <v>729</v>
      </c>
      <c r="C428" t="s">
        <v>594</v>
      </c>
      <c r="D428" t="s">
        <v>140</v>
      </c>
      <c r="E428" t="s">
        <v>141</v>
      </c>
      <c r="F428" t="s">
        <v>112</v>
      </c>
      <c r="G428" s="1">
        <v>43278.847800925927</v>
      </c>
      <c r="H428" t="s">
        <v>142</v>
      </c>
      <c r="I428" t="s">
        <v>230</v>
      </c>
      <c r="K428" s="3">
        <v>847</v>
      </c>
      <c r="L428" s="3">
        <v>561</v>
      </c>
      <c r="M428" s="3">
        <v>1408</v>
      </c>
      <c r="N428" s="4">
        <v>0.6</v>
      </c>
      <c r="O428" s="3">
        <v>22</v>
      </c>
      <c r="P428" s="3"/>
      <c r="Q428" s="3">
        <v>16</v>
      </c>
      <c r="R428" s="3">
        <v>22</v>
      </c>
      <c r="S428" s="5">
        <v>3</v>
      </c>
      <c r="T428" s="5">
        <v>3.9</v>
      </c>
      <c r="U428" s="4">
        <v>0.77</v>
      </c>
      <c r="V428" s="4">
        <v>0.6</v>
      </c>
      <c r="W428" s="4">
        <v>1</v>
      </c>
      <c r="X428" s="4">
        <v>0.7</v>
      </c>
      <c r="Y428" s="4">
        <v>0.73</v>
      </c>
      <c r="Z428" s="4">
        <v>0.4</v>
      </c>
      <c r="AA428" s="3">
        <v>22</v>
      </c>
      <c r="AB428" s="3">
        <v>22</v>
      </c>
      <c r="AC428" s="5">
        <v>4.3</v>
      </c>
      <c r="AD428" s="4">
        <v>1</v>
      </c>
      <c r="AE428" s="4">
        <v>0.86</v>
      </c>
      <c r="AF428" s="4">
        <v>1</v>
      </c>
      <c r="AG428" s="4">
        <v>0.14000000000000001</v>
      </c>
      <c r="AH428" s="4">
        <v>0.75</v>
      </c>
      <c r="AI428" s="4">
        <v>0.61</v>
      </c>
      <c r="AJ428" t="s">
        <v>60</v>
      </c>
      <c r="AK428" t="s">
        <v>61</v>
      </c>
      <c r="AL428" t="s">
        <v>62</v>
      </c>
      <c r="AM428" t="s">
        <v>73</v>
      </c>
      <c r="AN428" t="s">
        <v>64</v>
      </c>
      <c r="AO428" t="s">
        <v>74</v>
      </c>
      <c r="AP428" t="s">
        <v>75</v>
      </c>
    </row>
    <row r="429" spans="1:42" x14ac:dyDescent="0.25">
      <c r="A429" t="str">
        <f>HYPERLINK("HTTP://10.0.1.74/krs/732/detail","/krs/732")</f>
        <v>/krs/732</v>
      </c>
      <c r="B429">
        <v>732</v>
      </c>
      <c r="C429" t="s">
        <v>53</v>
      </c>
      <c r="D429" t="s">
        <v>81</v>
      </c>
      <c r="E429" t="s">
        <v>135</v>
      </c>
      <c r="F429" t="s">
        <v>267</v>
      </c>
      <c r="G429" s="1">
        <v>43027</v>
      </c>
      <c r="H429" t="s">
        <v>412</v>
      </c>
      <c r="I429" t="s">
        <v>57</v>
      </c>
      <c r="J429" t="s">
        <v>595</v>
      </c>
      <c r="K429" s="3">
        <v>526</v>
      </c>
      <c r="L429" s="3">
        <v>176</v>
      </c>
      <c r="M429" s="3">
        <v>702</v>
      </c>
      <c r="N429" s="4">
        <v>0.75</v>
      </c>
      <c r="O429" s="3">
        <v>26</v>
      </c>
      <c r="P429" s="3"/>
      <c r="Q429" s="3">
        <v>19</v>
      </c>
      <c r="R429" s="3">
        <v>26</v>
      </c>
      <c r="S429" s="5">
        <v>3.8</v>
      </c>
      <c r="T429" s="5">
        <v>3.8</v>
      </c>
      <c r="U429" s="4">
        <v>0.77</v>
      </c>
      <c r="V429" s="4">
        <v>0.75</v>
      </c>
      <c r="W429" s="4">
        <v>0.96</v>
      </c>
      <c r="X429" s="4">
        <v>0</v>
      </c>
      <c r="Y429" s="4">
        <v>0.73</v>
      </c>
      <c r="Z429" s="4">
        <v>0.25</v>
      </c>
      <c r="AA429" s="3">
        <v>0</v>
      </c>
      <c r="AB429" s="3">
        <v>0</v>
      </c>
      <c r="AC429" s="5">
        <v>0</v>
      </c>
      <c r="AD429" s="4">
        <v>0</v>
      </c>
      <c r="AE429" s="4">
        <v>0</v>
      </c>
      <c r="AF429" s="4">
        <v>0</v>
      </c>
      <c r="AG429" s="4">
        <v>1</v>
      </c>
      <c r="AH429" s="4">
        <v>0.75</v>
      </c>
      <c r="AI429" s="4">
        <v>0</v>
      </c>
      <c r="AJ429" t="s">
        <v>72</v>
      </c>
      <c r="AK429" t="s">
        <v>62</v>
      </c>
      <c r="AL429" t="s">
        <v>62</v>
      </c>
      <c r="AM429" t="s">
        <v>63</v>
      </c>
      <c r="AN429" t="s">
        <v>64</v>
      </c>
      <c r="AO429" t="s">
        <v>79</v>
      </c>
      <c r="AP429" t="s">
        <v>75</v>
      </c>
    </row>
    <row r="430" spans="1:42" x14ac:dyDescent="0.25">
      <c r="A430" t="str">
        <f>HYPERLINK("HTTP://10.0.1.74/krs/733/detail","/krs/733")</f>
        <v>/krs/733</v>
      </c>
      <c r="B430">
        <v>733</v>
      </c>
      <c r="C430" t="s">
        <v>80</v>
      </c>
      <c r="D430" t="s">
        <v>81</v>
      </c>
      <c r="E430" t="s">
        <v>135</v>
      </c>
      <c r="F430" t="s">
        <v>267</v>
      </c>
      <c r="G430" s="1">
        <v>43067</v>
      </c>
      <c r="H430" t="s">
        <v>412</v>
      </c>
      <c r="I430" t="s">
        <v>57</v>
      </c>
      <c r="J430" t="s">
        <v>596</v>
      </c>
      <c r="K430" s="3">
        <v>472</v>
      </c>
      <c r="L430" s="3">
        <v>203</v>
      </c>
      <c r="M430" s="3">
        <v>675</v>
      </c>
      <c r="N430" s="4">
        <v>0.7</v>
      </c>
      <c r="O430" s="3">
        <v>25</v>
      </c>
      <c r="P430" s="3"/>
      <c r="Q430" s="3">
        <v>13</v>
      </c>
      <c r="R430" s="3">
        <v>25</v>
      </c>
      <c r="S430" s="5">
        <v>3.7</v>
      </c>
      <c r="T430" s="5">
        <v>3.7</v>
      </c>
      <c r="U430" s="4">
        <v>0.74</v>
      </c>
      <c r="V430" s="4">
        <v>0.7</v>
      </c>
      <c r="W430" s="4">
        <v>0.96</v>
      </c>
      <c r="X430" s="4">
        <v>0</v>
      </c>
      <c r="Y430" s="4">
        <v>0.52</v>
      </c>
      <c r="Z430" s="4">
        <v>0.3</v>
      </c>
      <c r="AA430" s="3">
        <v>0</v>
      </c>
      <c r="AB430" s="3">
        <v>0</v>
      </c>
      <c r="AC430" s="5">
        <v>0</v>
      </c>
      <c r="AD430" s="4">
        <v>0</v>
      </c>
      <c r="AE430" s="4">
        <v>0</v>
      </c>
      <c r="AF430" s="4">
        <v>0</v>
      </c>
      <c r="AG430" s="4">
        <v>1</v>
      </c>
      <c r="AH430" s="4">
        <v>0.71</v>
      </c>
      <c r="AI430" s="4">
        <v>0.71</v>
      </c>
      <c r="AJ430" t="s">
        <v>72</v>
      </c>
      <c r="AK430" t="s">
        <v>62</v>
      </c>
      <c r="AL430" t="s">
        <v>62</v>
      </c>
      <c r="AM430" t="s">
        <v>63</v>
      </c>
      <c r="AN430" t="s">
        <v>64</v>
      </c>
      <c r="AO430" t="s">
        <v>79</v>
      </c>
      <c r="AP430" t="s">
        <v>75</v>
      </c>
    </row>
    <row r="431" spans="1:42" x14ac:dyDescent="0.25">
      <c r="A431" t="str">
        <f>HYPERLINK("HTTP://10.0.1.74/krs/734/detail","/krs/734")</f>
        <v>/krs/734</v>
      </c>
      <c r="B431">
        <v>734</v>
      </c>
      <c r="C431" t="s">
        <v>257</v>
      </c>
      <c r="D431" t="s">
        <v>81</v>
      </c>
      <c r="E431" t="s">
        <v>135</v>
      </c>
      <c r="F431" t="s">
        <v>267</v>
      </c>
      <c r="G431" s="1">
        <v>43137</v>
      </c>
      <c r="H431" t="s">
        <v>412</v>
      </c>
      <c r="I431" t="s">
        <v>57</v>
      </c>
      <c r="J431" t="s">
        <v>597</v>
      </c>
      <c r="K431" s="3">
        <v>890</v>
      </c>
      <c r="L431" s="3">
        <v>325</v>
      </c>
      <c r="M431" s="3">
        <v>1215</v>
      </c>
      <c r="N431" s="4">
        <v>0.73</v>
      </c>
      <c r="O431" s="3">
        <v>25</v>
      </c>
      <c r="P431" s="3"/>
      <c r="Q431" s="3">
        <v>18</v>
      </c>
      <c r="R431" s="3">
        <v>25</v>
      </c>
      <c r="S431" s="5">
        <v>3.9</v>
      </c>
      <c r="T431" s="5">
        <v>3.9</v>
      </c>
      <c r="U431" s="4">
        <v>0.78</v>
      </c>
      <c r="V431" s="4">
        <v>0.73</v>
      </c>
      <c r="W431" s="4">
        <v>1</v>
      </c>
      <c r="X431" s="4">
        <v>0</v>
      </c>
      <c r="Y431" s="4">
        <v>0.72</v>
      </c>
      <c r="Z431" s="4">
        <v>0.27</v>
      </c>
      <c r="AA431" s="3">
        <v>0</v>
      </c>
      <c r="AB431" s="3">
        <v>0</v>
      </c>
      <c r="AC431" s="5">
        <v>0</v>
      </c>
      <c r="AD431" s="4">
        <v>0</v>
      </c>
      <c r="AE431" s="4">
        <v>0</v>
      </c>
      <c r="AF431" s="4">
        <v>0</v>
      </c>
      <c r="AG431" s="4">
        <v>1</v>
      </c>
      <c r="AH431" s="4">
        <v>0.74</v>
      </c>
      <c r="AI431" s="4">
        <v>0.76</v>
      </c>
      <c r="AJ431" t="s">
        <v>72</v>
      </c>
      <c r="AK431" t="s">
        <v>62</v>
      </c>
      <c r="AL431" t="s">
        <v>62</v>
      </c>
      <c r="AM431" t="s">
        <v>63</v>
      </c>
      <c r="AN431" t="s">
        <v>64</v>
      </c>
      <c r="AO431" t="s">
        <v>79</v>
      </c>
      <c r="AP431" t="s">
        <v>75</v>
      </c>
    </row>
    <row r="432" spans="1:42" x14ac:dyDescent="0.25">
      <c r="A432" t="str">
        <f>HYPERLINK("HTTP://10.0.1.74/krs/735/detail","/krs/735")</f>
        <v>/krs/735</v>
      </c>
      <c r="B432">
        <v>735</v>
      </c>
      <c r="C432" t="s">
        <v>288</v>
      </c>
      <c r="D432" t="s">
        <v>81</v>
      </c>
      <c r="E432" t="s">
        <v>135</v>
      </c>
      <c r="F432" t="s">
        <v>267</v>
      </c>
      <c r="G432" s="1">
        <v>43174</v>
      </c>
      <c r="H432" t="s">
        <v>412</v>
      </c>
      <c r="I432" t="s">
        <v>57</v>
      </c>
      <c r="J432" t="s">
        <v>598</v>
      </c>
      <c r="K432" s="3">
        <v>510</v>
      </c>
      <c r="L432" s="3">
        <v>300</v>
      </c>
      <c r="M432" s="3">
        <v>810</v>
      </c>
      <c r="N432" s="4">
        <v>0.63</v>
      </c>
      <c r="O432" s="3">
        <v>23</v>
      </c>
      <c r="P432" s="3"/>
      <c r="Q432" s="3">
        <v>16</v>
      </c>
      <c r="R432" s="3">
        <v>23</v>
      </c>
      <c r="S432" s="5">
        <v>3.8</v>
      </c>
      <c r="T432" s="5">
        <v>3.8</v>
      </c>
      <c r="U432" s="4">
        <v>0.76</v>
      </c>
      <c r="V432" s="4">
        <v>0.63</v>
      </c>
      <c r="W432" s="4">
        <v>0.78</v>
      </c>
      <c r="X432" s="4">
        <v>0</v>
      </c>
      <c r="Y432" s="4">
        <v>0.7</v>
      </c>
      <c r="Z432" s="4">
        <v>0.37</v>
      </c>
      <c r="AA432" s="3">
        <v>0</v>
      </c>
      <c r="AB432" s="3">
        <v>0</v>
      </c>
      <c r="AC432" s="5">
        <v>0</v>
      </c>
      <c r="AD432" s="4">
        <v>0</v>
      </c>
      <c r="AE432" s="4">
        <v>0</v>
      </c>
      <c r="AF432" s="4">
        <v>0</v>
      </c>
      <c r="AG432" s="4">
        <v>1</v>
      </c>
      <c r="AH432" s="4">
        <v>0.63</v>
      </c>
      <c r="AI432" s="4">
        <v>0.61</v>
      </c>
      <c r="AJ432" t="s">
        <v>60</v>
      </c>
      <c r="AK432" t="s">
        <v>61</v>
      </c>
      <c r="AL432" t="s">
        <v>62</v>
      </c>
      <c r="AM432" t="s">
        <v>63</v>
      </c>
      <c r="AN432" t="s">
        <v>64</v>
      </c>
      <c r="AO432" t="s">
        <v>79</v>
      </c>
      <c r="AP432" t="s">
        <v>75</v>
      </c>
    </row>
    <row r="433" spans="1:42" x14ac:dyDescent="0.25">
      <c r="A433" t="str">
        <f>HYPERLINK("HTTP://10.0.1.74/krs/736/detail","/krs/736")</f>
        <v>/krs/736</v>
      </c>
      <c r="B433">
        <v>736</v>
      </c>
      <c r="C433" t="s">
        <v>354</v>
      </c>
      <c r="D433" t="s">
        <v>81</v>
      </c>
      <c r="E433" t="s">
        <v>135</v>
      </c>
      <c r="F433" t="s">
        <v>267</v>
      </c>
      <c r="G433" s="1">
        <v>43181</v>
      </c>
      <c r="H433" t="s">
        <v>412</v>
      </c>
      <c r="I433" t="s">
        <v>57</v>
      </c>
      <c r="J433" t="s">
        <v>599</v>
      </c>
      <c r="K433" s="3">
        <v>747</v>
      </c>
      <c r="L433" s="3">
        <v>198</v>
      </c>
      <c r="M433" s="3">
        <v>945</v>
      </c>
      <c r="N433" s="4">
        <v>0.79</v>
      </c>
      <c r="O433" s="3">
        <v>27</v>
      </c>
      <c r="P433" s="3"/>
      <c r="Q433" s="3">
        <v>21</v>
      </c>
      <c r="R433" s="3">
        <v>27</v>
      </c>
      <c r="S433" s="5">
        <v>4.0999999999999996</v>
      </c>
      <c r="T433" s="5">
        <v>4.0999999999999996</v>
      </c>
      <c r="U433" s="4">
        <v>0.81</v>
      </c>
      <c r="V433" s="4">
        <v>0.79</v>
      </c>
      <c r="W433" s="4">
        <v>1</v>
      </c>
      <c r="X433" s="4">
        <v>0</v>
      </c>
      <c r="Y433" s="4">
        <v>0.78</v>
      </c>
      <c r="Z433" s="4">
        <v>0.21</v>
      </c>
      <c r="AA433" s="3">
        <v>0</v>
      </c>
      <c r="AB433" s="3">
        <v>0</v>
      </c>
      <c r="AC433" s="5">
        <v>0</v>
      </c>
      <c r="AD433" s="4">
        <v>0</v>
      </c>
      <c r="AE433" s="4">
        <v>0</v>
      </c>
      <c r="AF433" s="4">
        <v>0</v>
      </c>
      <c r="AG433" s="4">
        <v>1</v>
      </c>
      <c r="AH433" s="4">
        <v>0.79</v>
      </c>
      <c r="AI433" s="4">
        <v>0.85</v>
      </c>
      <c r="AJ433" t="s">
        <v>72</v>
      </c>
      <c r="AK433" t="s">
        <v>62</v>
      </c>
      <c r="AL433" t="s">
        <v>62</v>
      </c>
      <c r="AM433" t="s">
        <v>63</v>
      </c>
      <c r="AN433" t="s">
        <v>64</v>
      </c>
      <c r="AO433" t="s">
        <v>79</v>
      </c>
      <c r="AP433" t="s">
        <v>75</v>
      </c>
    </row>
    <row r="434" spans="1:42" x14ac:dyDescent="0.25">
      <c r="A434" t="str">
        <f>HYPERLINK("HTTP://10.0.1.74/krs/737/detail","/krs/737")</f>
        <v>/krs/737</v>
      </c>
      <c r="B434">
        <v>737</v>
      </c>
      <c r="C434" t="s">
        <v>80</v>
      </c>
      <c r="D434" t="s">
        <v>81</v>
      </c>
      <c r="E434" t="s">
        <v>135</v>
      </c>
      <c r="F434" t="s">
        <v>346</v>
      </c>
      <c r="G434" s="1">
        <v>43076</v>
      </c>
      <c r="H434" t="s">
        <v>137</v>
      </c>
      <c r="I434" t="s">
        <v>57</v>
      </c>
      <c r="J434" t="s">
        <v>600</v>
      </c>
      <c r="K434" s="3">
        <v>544</v>
      </c>
      <c r="L434" s="3">
        <v>392</v>
      </c>
      <c r="M434" s="3">
        <v>936</v>
      </c>
      <c r="N434" s="4">
        <v>0.57999999999999996</v>
      </c>
      <c r="O434" s="3">
        <v>26</v>
      </c>
      <c r="P434" s="3"/>
      <c r="Q434" s="3">
        <v>8</v>
      </c>
      <c r="R434" s="3">
        <v>26</v>
      </c>
      <c r="S434" s="5">
        <v>2.9</v>
      </c>
      <c r="T434" s="5">
        <v>2.9</v>
      </c>
      <c r="U434" s="4">
        <v>0.57999999999999996</v>
      </c>
      <c r="V434" s="4">
        <v>0.57999999999999996</v>
      </c>
      <c r="W434" s="4">
        <v>0.69</v>
      </c>
      <c r="X434" s="4">
        <v>0</v>
      </c>
      <c r="Y434" s="4">
        <v>0.31</v>
      </c>
      <c r="Z434" s="4">
        <v>0.42</v>
      </c>
      <c r="AA434" s="3">
        <v>0</v>
      </c>
      <c r="AB434" s="3">
        <v>0</v>
      </c>
      <c r="AC434" s="5">
        <v>0</v>
      </c>
      <c r="AD434" s="4">
        <v>0</v>
      </c>
      <c r="AE434" s="4">
        <v>0</v>
      </c>
      <c r="AF434" s="4">
        <v>0</v>
      </c>
      <c r="AG434" s="4">
        <v>1</v>
      </c>
      <c r="AH434" s="4">
        <v>0.67</v>
      </c>
      <c r="AI434" s="4">
        <v>0</v>
      </c>
      <c r="AJ434" t="s">
        <v>72</v>
      </c>
      <c r="AK434" t="s">
        <v>86</v>
      </c>
      <c r="AL434" t="s">
        <v>61</v>
      </c>
      <c r="AM434" t="s">
        <v>63</v>
      </c>
      <c r="AN434" t="s">
        <v>64</v>
      </c>
      <c r="AO434" t="s">
        <v>79</v>
      </c>
      <c r="AP434" t="s">
        <v>75</v>
      </c>
    </row>
    <row r="435" spans="1:42" x14ac:dyDescent="0.25">
      <c r="A435" t="str">
        <f>HYPERLINK("HTTP://10.0.1.74/krs/738/detail","/krs/738")</f>
        <v>/krs/738</v>
      </c>
      <c r="B435">
        <v>738</v>
      </c>
      <c r="C435" t="s">
        <v>257</v>
      </c>
      <c r="D435" t="s">
        <v>81</v>
      </c>
      <c r="E435" t="s">
        <v>135</v>
      </c>
      <c r="F435" t="s">
        <v>346</v>
      </c>
      <c r="G435" s="1">
        <v>43137</v>
      </c>
      <c r="H435" t="s">
        <v>137</v>
      </c>
      <c r="I435" t="s">
        <v>57</v>
      </c>
      <c r="J435" t="s">
        <v>601</v>
      </c>
      <c r="K435" s="3">
        <v>748</v>
      </c>
      <c r="L435" s="3">
        <v>396</v>
      </c>
      <c r="M435" s="3">
        <v>1144</v>
      </c>
      <c r="N435" s="4">
        <v>0.65</v>
      </c>
      <c r="O435" s="3">
        <v>26</v>
      </c>
      <c r="P435" s="3"/>
      <c r="Q435" s="3">
        <v>11</v>
      </c>
      <c r="R435" s="3">
        <v>26</v>
      </c>
      <c r="S435" s="5">
        <v>3.4</v>
      </c>
      <c r="T435" s="5">
        <v>3.4</v>
      </c>
      <c r="U435" s="4">
        <v>0.68</v>
      </c>
      <c r="V435" s="4">
        <v>0.65</v>
      </c>
      <c r="W435" s="4">
        <v>0.77</v>
      </c>
      <c r="X435" s="4">
        <v>0</v>
      </c>
      <c r="Y435" s="4">
        <v>0.42</v>
      </c>
      <c r="Z435" s="4">
        <v>0.35</v>
      </c>
      <c r="AA435" s="3">
        <v>0</v>
      </c>
      <c r="AB435" s="3">
        <v>0</v>
      </c>
      <c r="AC435" s="5">
        <v>0</v>
      </c>
      <c r="AD435" s="4">
        <v>0</v>
      </c>
      <c r="AE435" s="4">
        <v>0</v>
      </c>
      <c r="AF435" s="4">
        <v>0</v>
      </c>
      <c r="AG435" s="4">
        <v>1</v>
      </c>
      <c r="AH435" s="4">
        <v>0.62</v>
      </c>
      <c r="AI435" s="4">
        <v>0</v>
      </c>
      <c r="AJ435" t="s">
        <v>72</v>
      </c>
      <c r="AK435" t="s">
        <v>61</v>
      </c>
      <c r="AL435" t="s">
        <v>62</v>
      </c>
      <c r="AM435" t="s">
        <v>63</v>
      </c>
      <c r="AN435" t="s">
        <v>64</v>
      </c>
      <c r="AO435" t="s">
        <v>79</v>
      </c>
      <c r="AP435" t="s">
        <v>75</v>
      </c>
    </row>
    <row r="436" spans="1:42" x14ac:dyDescent="0.25">
      <c r="A436" t="str">
        <f>HYPERLINK("HTTP://10.0.1.74/krs/739/detail","/krs/739")</f>
        <v>/krs/739</v>
      </c>
      <c r="B436">
        <v>739</v>
      </c>
      <c r="C436" t="s">
        <v>288</v>
      </c>
      <c r="D436" t="s">
        <v>81</v>
      </c>
      <c r="E436" t="s">
        <v>135</v>
      </c>
      <c r="F436" t="s">
        <v>346</v>
      </c>
      <c r="G436" s="1">
        <v>43172</v>
      </c>
      <c r="H436" t="s">
        <v>137</v>
      </c>
      <c r="I436" t="s">
        <v>57</v>
      </c>
      <c r="J436" t="s">
        <v>602</v>
      </c>
      <c r="K436" s="3">
        <v>710</v>
      </c>
      <c r="L436" s="3">
        <v>451</v>
      </c>
      <c r="M436" s="3">
        <v>1161</v>
      </c>
      <c r="N436" s="4">
        <v>0.61</v>
      </c>
      <c r="O436" s="3">
        <v>27</v>
      </c>
      <c r="P436" s="3"/>
      <c r="Q436" s="3">
        <v>9</v>
      </c>
      <c r="R436" s="3">
        <v>27</v>
      </c>
      <c r="S436" s="5">
        <v>3.2</v>
      </c>
      <c r="T436" s="5">
        <v>3.2</v>
      </c>
      <c r="U436" s="4">
        <v>0.64</v>
      </c>
      <c r="V436" s="4">
        <v>0.61</v>
      </c>
      <c r="W436" s="4">
        <v>0.78</v>
      </c>
      <c r="X436" s="4">
        <v>0</v>
      </c>
      <c r="Y436" s="4">
        <v>0.33</v>
      </c>
      <c r="Z436" s="4">
        <v>0.39</v>
      </c>
      <c r="AA436" s="3">
        <v>0</v>
      </c>
      <c r="AB436" s="3">
        <v>0</v>
      </c>
      <c r="AC436" s="5">
        <v>0</v>
      </c>
      <c r="AD436" s="4">
        <v>0</v>
      </c>
      <c r="AE436" s="4">
        <v>0</v>
      </c>
      <c r="AF436" s="4">
        <v>0</v>
      </c>
      <c r="AG436" s="4">
        <v>1</v>
      </c>
      <c r="AH436" s="4">
        <v>0.64</v>
      </c>
      <c r="AI436" s="4">
        <v>0</v>
      </c>
      <c r="AJ436" t="s">
        <v>72</v>
      </c>
      <c r="AK436" t="s">
        <v>61</v>
      </c>
      <c r="AL436" t="s">
        <v>62</v>
      </c>
      <c r="AM436" t="s">
        <v>63</v>
      </c>
      <c r="AN436" t="s">
        <v>64</v>
      </c>
      <c r="AO436" t="s">
        <v>79</v>
      </c>
      <c r="AP436" t="s">
        <v>75</v>
      </c>
    </row>
    <row r="437" spans="1:42" x14ac:dyDescent="0.25">
      <c r="A437" t="str">
        <f>HYPERLINK("HTTP://10.0.1.74/krs/740/detail","/krs/740")</f>
        <v>/krs/740</v>
      </c>
      <c r="B437">
        <v>740</v>
      </c>
      <c r="C437" t="s">
        <v>603</v>
      </c>
      <c r="D437" t="s">
        <v>81</v>
      </c>
      <c r="E437" t="s">
        <v>135</v>
      </c>
      <c r="F437" t="s">
        <v>346</v>
      </c>
      <c r="G437" s="1">
        <v>43223</v>
      </c>
      <c r="H437" t="s">
        <v>137</v>
      </c>
      <c r="I437" t="s">
        <v>57</v>
      </c>
      <c r="J437" t="s">
        <v>604</v>
      </c>
      <c r="K437" s="3">
        <v>457</v>
      </c>
      <c r="L437" s="3">
        <v>287</v>
      </c>
      <c r="M437" s="3">
        <v>744</v>
      </c>
      <c r="N437" s="4">
        <v>0.61</v>
      </c>
      <c r="O437" s="3">
        <v>24</v>
      </c>
      <c r="P437" s="3"/>
      <c r="Q437" s="3">
        <v>9</v>
      </c>
      <c r="R437" s="3">
        <v>24</v>
      </c>
      <c r="S437" s="5">
        <v>3.2</v>
      </c>
      <c r="T437" s="5">
        <v>3.1</v>
      </c>
      <c r="U437" s="4">
        <v>0.62</v>
      </c>
      <c r="V437" s="4">
        <v>0.61</v>
      </c>
      <c r="W437" s="4">
        <v>0.75</v>
      </c>
      <c r="X437" s="4">
        <v>0</v>
      </c>
      <c r="Y437" s="4">
        <v>0.38</v>
      </c>
      <c r="Z437" s="4">
        <v>0.39</v>
      </c>
      <c r="AA437" s="3">
        <v>0</v>
      </c>
      <c r="AB437" s="3">
        <v>0</v>
      </c>
      <c r="AC437" s="5">
        <v>0</v>
      </c>
      <c r="AD437" s="4">
        <v>0</v>
      </c>
      <c r="AE437" s="4">
        <v>0</v>
      </c>
      <c r="AF437" s="4">
        <v>0</v>
      </c>
      <c r="AG437" s="4">
        <v>1</v>
      </c>
      <c r="AH437" s="4">
        <v>0.57999999999999996</v>
      </c>
      <c r="AI437" s="4">
        <v>0</v>
      </c>
      <c r="AJ437" t="s">
        <v>72</v>
      </c>
      <c r="AK437" t="s">
        <v>61</v>
      </c>
      <c r="AL437" t="s">
        <v>62</v>
      </c>
      <c r="AM437" t="s">
        <v>63</v>
      </c>
      <c r="AN437" t="s">
        <v>64</v>
      </c>
      <c r="AO437" t="s">
        <v>79</v>
      </c>
      <c r="AP437" t="s">
        <v>75</v>
      </c>
    </row>
    <row r="438" spans="1:42" x14ac:dyDescent="0.25">
      <c r="A438" t="str">
        <f>HYPERLINK("HTTP://10.0.1.74/krs/741/detail","/krs/741")</f>
        <v>/krs/741</v>
      </c>
      <c r="B438">
        <v>741</v>
      </c>
      <c r="C438" t="s">
        <v>257</v>
      </c>
      <c r="D438" t="s">
        <v>81</v>
      </c>
      <c r="E438" t="s">
        <v>135</v>
      </c>
      <c r="F438" t="s">
        <v>206</v>
      </c>
      <c r="G438" s="1">
        <v>43087</v>
      </c>
      <c r="H438" t="s">
        <v>137</v>
      </c>
      <c r="I438" t="s">
        <v>57</v>
      </c>
      <c r="J438" t="s">
        <v>605</v>
      </c>
      <c r="K438" s="3">
        <v>1179</v>
      </c>
      <c r="L438" s="3">
        <v>759</v>
      </c>
      <c r="M438" s="3">
        <v>1938</v>
      </c>
      <c r="N438" s="4">
        <v>0.61</v>
      </c>
      <c r="O438" s="3">
        <v>57</v>
      </c>
      <c r="P438" s="3"/>
      <c r="Q438" s="3">
        <v>16</v>
      </c>
      <c r="R438" s="3">
        <v>57</v>
      </c>
      <c r="S438" s="5">
        <v>3.1</v>
      </c>
      <c r="T438" s="5">
        <v>3.1</v>
      </c>
      <c r="U438" s="4">
        <v>0.61</v>
      </c>
      <c r="V438" s="4">
        <v>0.61</v>
      </c>
      <c r="W438" s="4">
        <v>0.77</v>
      </c>
      <c r="X438" s="4">
        <v>0.72</v>
      </c>
      <c r="Y438" s="4">
        <v>0.28000000000000003</v>
      </c>
      <c r="Z438" s="4">
        <v>0.39</v>
      </c>
      <c r="AA438" s="3">
        <v>33</v>
      </c>
      <c r="AB438" s="3">
        <v>24</v>
      </c>
      <c r="AC438" s="5">
        <v>4.3</v>
      </c>
      <c r="AD438" s="4">
        <v>1</v>
      </c>
      <c r="AE438" s="4">
        <v>0.85</v>
      </c>
      <c r="AF438" s="4">
        <v>0.73</v>
      </c>
      <c r="AG438" s="4">
        <v>0.15</v>
      </c>
      <c r="AH438" s="4">
        <v>0.6</v>
      </c>
      <c r="AI438" s="4">
        <v>0</v>
      </c>
      <c r="AJ438" t="s">
        <v>72</v>
      </c>
      <c r="AK438" t="s">
        <v>61</v>
      </c>
      <c r="AL438" t="s">
        <v>62</v>
      </c>
      <c r="AM438" t="s">
        <v>73</v>
      </c>
      <c r="AN438" t="s">
        <v>64</v>
      </c>
      <c r="AO438" t="s">
        <v>74</v>
      </c>
      <c r="AP438" t="s">
        <v>75</v>
      </c>
    </row>
    <row r="439" spans="1:42" x14ac:dyDescent="0.25">
      <c r="A439" t="str">
        <f>HYPERLINK("HTTP://10.0.1.74/krs/742/detail","/krs/742")</f>
        <v>/krs/742</v>
      </c>
      <c r="B439">
        <v>742</v>
      </c>
      <c r="C439" t="s">
        <v>354</v>
      </c>
      <c r="D439" t="s">
        <v>81</v>
      </c>
      <c r="E439" t="s">
        <v>135</v>
      </c>
      <c r="F439" t="s">
        <v>206</v>
      </c>
      <c r="G439" s="1">
        <v>43174</v>
      </c>
      <c r="H439" t="s">
        <v>137</v>
      </c>
      <c r="I439" t="s">
        <v>57</v>
      </c>
      <c r="J439" t="s">
        <v>606</v>
      </c>
      <c r="K439" s="3">
        <v>1214</v>
      </c>
      <c r="L439" s="3">
        <v>826</v>
      </c>
      <c r="M439" s="3">
        <v>2040</v>
      </c>
      <c r="N439" s="4">
        <v>0.6</v>
      </c>
      <c r="O439" s="3">
        <v>60</v>
      </c>
      <c r="P439" s="3"/>
      <c r="Q439" s="3">
        <v>22</v>
      </c>
      <c r="R439" s="3">
        <v>60</v>
      </c>
      <c r="S439" s="5">
        <v>3.1</v>
      </c>
      <c r="T439" s="5">
        <v>3.1</v>
      </c>
      <c r="U439" s="4">
        <v>0.62</v>
      </c>
      <c r="V439" s="4">
        <v>0.6</v>
      </c>
      <c r="W439" s="4">
        <v>0.75</v>
      </c>
      <c r="X439" s="4">
        <v>0.7</v>
      </c>
      <c r="Y439" s="4">
        <v>0.37</v>
      </c>
      <c r="Z439" s="4">
        <v>0.4</v>
      </c>
      <c r="AA439" s="3">
        <v>35</v>
      </c>
      <c r="AB439" s="3">
        <v>26</v>
      </c>
      <c r="AC439" s="5">
        <v>4.3</v>
      </c>
      <c r="AD439" s="4">
        <v>1</v>
      </c>
      <c r="AE439" s="4">
        <v>0.86</v>
      </c>
      <c r="AF439" s="4">
        <v>0.74</v>
      </c>
      <c r="AG439" s="4">
        <v>0.14000000000000001</v>
      </c>
      <c r="AH439" s="4">
        <v>0.62</v>
      </c>
      <c r="AI439" s="4">
        <v>0</v>
      </c>
      <c r="AJ439" t="s">
        <v>72</v>
      </c>
      <c r="AK439" t="s">
        <v>61</v>
      </c>
      <c r="AL439" t="s">
        <v>62</v>
      </c>
      <c r="AM439" t="s">
        <v>73</v>
      </c>
      <c r="AN439" t="s">
        <v>64</v>
      </c>
      <c r="AO439" t="s">
        <v>74</v>
      </c>
      <c r="AP439" t="s">
        <v>75</v>
      </c>
    </row>
    <row r="440" spans="1:42" x14ac:dyDescent="0.25">
      <c r="A440" t="str">
        <f>HYPERLINK("HTTP://10.0.1.74/krs/744/detail","/krs/744")</f>
        <v>/krs/744</v>
      </c>
      <c r="B440">
        <v>744</v>
      </c>
      <c r="C440" t="s">
        <v>607</v>
      </c>
      <c r="D440" t="s">
        <v>81</v>
      </c>
      <c r="E440" t="s">
        <v>135</v>
      </c>
      <c r="F440" t="s">
        <v>206</v>
      </c>
      <c r="G440" s="1">
        <v>43220</v>
      </c>
      <c r="H440" t="s">
        <v>137</v>
      </c>
      <c r="I440" t="s">
        <v>57</v>
      </c>
      <c r="J440" t="s">
        <v>608</v>
      </c>
      <c r="K440" s="3">
        <v>1314</v>
      </c>
      <c r="L440" s="3">
        <v>1442</v>
      </c>
      <c r="M440" s="3">
        <v>2756</v>
      </c>
      <c r="N440" s="4">
        <v>0.48</v>
      </c>
      <c r="O440" s="3">
        <v>52</v>
      </c>
      <c r="P440" s="3"/>
      <c r="Q440" s="3">
        <v>9</v>
      </c>
      <c r="R440" s="3">
        <v>52</v>
      </c>
      <c r="S440" s="5">
        <v>2.6</v>
      </c>
      <c r="T440" s="5">
        <v>2.6</v>
      </c>
      <c r="U440" s="4">
        <v>0.52</v>
      </c>
      <c r="V440" s="4">
        <v>0.48</v>
      </c>
      <c r="W440" s="4">
        <v>0.48</v>
      </c>
      <c r="X440" s="4">
        <v>0.56000000000000005</v>
      </c>
      <c r="Y440" s="4">
        <v>0.17</v>
      </c>
      <c r="Z440" s="4">
        <v>0.52</v>
      </c>
      <c r="AA440" s="3">
        <v>33</v>
      </c>
      <c r="AB440" s="3">
        <v>24</v>
      </c>
      <c r="AC440" s="5">
        <v>4.3</v>
      </c>
      <c r="AD440" s="4">
        <v>1</v>
      </c>
      <c r="AE440" s="4">
        <v>0.86</v>
      </c>
      <c r="AF440" s="4">
        <v>0.73</v>
      </c>
      <c r="AG440" s="4">
        <v>0.14000000000000001</v>
      </c>
      <c r="AH440" s="4">
        <v>0.53</v>
      </c>
      <c r="AI440" s="4">
        <v>0</v>
      </c>
      <c r="AJ440" t="s">
        <v>72</v>
      </c>
      <c r="AK440" t="s">
        <v>86</v>
      </c>
      <c r="AL440" t="s">
        <v>86</v>
      </c>
      <c r="AM440" t="s">
        <v>73</v>
      </c>
      <c r="AN440" t="s">
        <v>64</v>
      </c>
      <c r="AO440" t="s">
        <v>74</v>
      </c>
      <c r="AP440" t="s">
        <v>75</v>
      </c>
    </row>
    <row r="441" spans="1:42" x14ac:dyDescent="0.25">
      <c r="A441" t="str">
        <f>HYPERLINK("HTTP://10.0.1.74/krs/745/detail","/krs/745")</f>
        <v>/krs/745</v>
      </c>
      <c r="B441">
        <v>745</v>
      </c>
      <c r="C441" t="s">
        <v>288</v>
      </c>
      <c r="D441" t="s">
        <v>81</v>
      </c>
      <c r="E441" t="s">
        <v>135</v>
      </c>
      <c r="F441" t="s">
        <v>206</v>
      </c>
      <c r="G441" s="1">
        <v>43140</v>
      </c>
      <c r="H441" t="s">
        <v>137</v>
      </c>
      <c r="I441" t="s">
        <v>57</v>
      </c>
      <c r="J441" t="s">
        <v>609</v>
      </c>
      <c r="K441" s="3">
        <v>716</v>
      </c>
      <c r="L441" s="3">
        <v>649</v>
      </c>
      <c r="M441" s="3">
        <v>1365</v>
      </c>
      <c r="N441" s="4">
        <v>0.52</v>
      </c>
      <c r="O441" s="3">
        <v>35</v>
      </c>
      <c r="P441" s="3"/>
      <c r="Q441" s="3">
        <v>8</v>
      </c>
      <c r="R441" s="3">
        <v>35</v>
      </c>
      <c r="S441" s="5">
        <v>2.7</v>
      </c>
      <c r="T441" s="5">
        <v>2.7</v>
      </c>
      <c r="U441" s="4">
        <v>0.54</v>
      </c>
      <c r="V441" s="4">
        <v>0.52</v>
      </c>
      <c r="W441" s="4">
        <v>0.51</v>
      </c>
      <c r="X441" s="4">
        <v>0.59</v>
      </c>
      <c r="Y441" s="4">
        <v>0.23</v>
      </c>
      <c r="Z441" s="4">
        <v>0.48</v>
      </c>
      <c r="AA441" s="3">
        <v>21</v>
      </c>
      <c r="AB441" s="3">
        <v>17</v>
      </c>
      <c r="AC441" s="5">
        <v>4.4000000000000004</v>
      </c>
      <c r="AD441" s="4">
        <v>1</v>
      </c>
      <c r="AE441" s="4">
        <v>0.88</v>
      </c>
      <c r="AF441" s="4">
        <v>0.81</v>
      </c>
      <c r="AG441" s="4">
        <v>0.12</v>
      </c>
      <c r="AH441" s="4">
        <v>0.52</v>
      </c>
      <c r="AI441" s="4">
        <v>0</v>
      </c>
      <c r="AJ441" t="s">
        <v>72</v>
      </c>
      <c r="AK441" t="s">
        <v>86</v>
      </c>
      <c r="AL441" t="s">
        <v>61</v>
      </c>
      <c r="AM441" t="s">
        <v>73</v>
      </c>
      <c r="AN441" t="s">
        <v>64</v>
      </c>
      <c r="AO441" t="s">
        <v>74</v>
      </c>
      <c r="AP441" t="s">
        <v>75</v>
      </c>
    </row>
    <row r="442" spans="1:42" x14ac:dyDescent="0.25">
      <c r="A442" t="str">
        <f>HYPERLINK("HTTP://10.0.1.74/krs/746/detail","/krs/746")</f>
        <v>/krs/746</v>
      </c>
      <c r="B442">
        <v>746</v>
      </c>
      <c r="C442" t="s">
        <v>603</v>
      </c>
      <c r="D442" t="s">
        <v>81</v>
      </c>
      <c r="E442" t="s">
        <v>135</v>
      </c>
      <c r="F442" t="s">
        <v>267</v>
      </c>
      <c r="G442" s="1">
        <v>43228</v>
      </c>
      <c r="H442" t="s">
        <v>412</v>
      </c>
      <c r="I442" t="s">
        <v>57</v>
      </c>
      <c r="J442" t="s">
        <v>610</v>
      </c>
      <c r="K442" s="3">
        <v>613</v>
      </c>
      <c r="L442" s="3">
        <v>332</v>
      </c>
      <c r="M442" s="3">
        <v>945</v>
      </c>
      <c r="N442" s="4">
        <v>0.65</v>
      </c>
      <c r="O442" s="3">
        <v>23</v>
      </c>
      <c r="P442" s="3"/>
      <c r="Q442" s="3">
        <v>15</v>
      </c>
      <c r="R442" s="3">
        <v>23</v>
      </c>
      <c r="S442" s="5">
        <v>4</v>
      </c>
      <c r="T442" s="5">
        <v>4</v>
      </c>
      <c r="U442" s="4">
        <v>0.79</v>
      </c>
      <c r="V442" s="4">
        <v>0.65</v>
      </c>
      <c r="W442" s="4">
        <v>0.96</v>
      </c>
      <c r="X442" s="4">
        <v>0</v>
      </c>
      <c r="Y442" s="4">
        <v>0.65</v>
      </c>
      <c r="Z442" s="4">
        <v>0.35</v>
      </c>
      <c r="AA442" s="3">
        <v>0</v>
      </c>
      <c r="AB442" s="3">
        <v>0</v>
      </c>
      <c r="AC442" s="5">
        <v>0</v>
      </c>
      <c r="AD442" s="4">
        <v>0</v>
      </c>
      <c r="AE442" s="4">
        <v>0</v>
      </c>
      <c r="AF442" s="4">
        <v>0</v>
      </c>
      <c r="AG442" s="4">
        <v>1</v>
      </c>
      <c r="AH442" s="4">
        <v>0.65</v>
      </c>
      <c r="AI442" s="4">
        <v>0.66</v>
      </c>
      <c r="AJ442" t="s">
        <v>60</v>
      </c>
      <c r="AK442" t="s">
        <v>61</v>
      </c>
      <c r="AL442" t="s">
        <v>62</v>
      </c>
      <c r="AM442" t="s">
        <v>63</v>
      </c>
      <c r="AN442" t="s">
        <v>64</v>
      </c>
      <c r="AO442" t="s">
        <v>79</v>
      </c>
      <c r="AP442" t="s">
        <v>75</v>
      </c>
    </row>
    <row r="443" spans="1:42" x14ac:dyDescent="0.25">
      <c r="A443" t="str">
        <f>HYPERLINK("HTTP://10.0.1.74/krs/747/detail","/krs/747")</f>
        <v>/krs/747</v>
      </c>
      <c r="B443">
        <v>747</v>
      </c>
      <c r="C443" t="s">
        <v>80</v>
      </c>
      <c r="D443" t="s">
        <v>81</v>
      </c>
      <c r="E443" t="s">
        <v>135</v>
      </c>
      <c r="F443" t="s">
        <v>206</v>
      </c>
      <c r="G443" s="1">
        <v>43055</v>
      </c>
      <c r="H443" t="s">
        <v>137</v>
      </c>
      <c r="I443" t="s">
        <v>57</v>
      </c>
      <c r="J443" t="s">
        <v>611</v>
      </c>
      <c r="K443" s="3">
        <v>1348</v>
      </c>
      <c r="L443" s="3">
        <v>624</v>
      </c>
      <c r="M443" s="3">
        <v>1972</v>
      </c>
      <c r="N443" s="4">
        <v>0.68</v>
      </c>
      <c r="O443" s="3">
        <v>58</v>
      </c>
      <c r="P443" s="3"/>
      <c r="Q443" s="3">
        <v>25</v>
      </c>
      <c r="R443" s="3">
        <v>58</v>
      </c>
      <c r="S443" s="5">
        <v>3.5</v>
      </c>
      <c r="T443" s="5">
        <v>3.5</v>
      </c>
      <c r="U443" s="4">
        <v>0.69</v>
      </c>
      <c r="V443" s="4">
        <v>0.68</v>
      </c>
      <c r="W443" s="4">
        <v>0.98</v>
      </c>
      <c r="X443" s="4">
        <v>0.81</v>
      </c>
      <c r="Y443" s="4">
        <v>0.43</v>
      </c>
      <c r="Z443" s="4">
        <v>0.32</v>
      </c>
      <c r="AA443" s="3">
        <v>33</v>
      </c>
      <c r="AB443" s="3">
        <v>24</v>
      </c>
      <c r="AC443" s="5">
        <v>4.2</v>
      </c>
      <c r="AD443" s="4">
        <v>1</v>
      </c>
      <c r="AE443" s="4">
        <v>0.84</v>
      </c>
      <c r="AF443" s="4">
        <v>0.73</v>
      </c>
      <c r="AG443" s="4">
        <v>0.16</v>
      </c>
      <c r="AH443" s="4">
        <v>0.65</v>
      </c>
      <c r="AI443" s="4">
        <v>0</v>
      </c>
      <c r="AJ443" t="s">
        <v>72</v>
      </c>
      <c r="AK443" t="s">
        <v>61</v>
      </c>
      <c r="AL443" t="s">
        <v>62</v>
      </c>
      <c r="AM443" t="s">
        <v>73</v>
      </c>
      <c r="AN443" t="s">
        <v>64</v>
      </c>
      <c r="AO443" t="s">
        <v>74</v>
      </c>
      <c r="AP443" t="s">
        <v>75</v>
      </c>
    </row>
    <row r="444" spans="1:42" x14ac:dyDescent="0.25">
      <c r="A444" t="str">
        <f>HYPERLINK("HTTP://10.0.1.74/krs/748/detail","/krs/748")</f>
        <v>/krs/748</v>
      </c>
      <c r="B444">
        <v>748</v>
      </c>
      <c r="C444" t="s">
        <v>80</v>
      </c>
      <c r="D444" t="s">
        <v>81</v>
      </c>
      <c r="E444" t="s">
        <v>135</v>
      </c>
      <c r="F444" t="s">
        <v>95</v>
      </c>
      <c r="G444" s="1">
        <v>43061</v>
      </c>
      <c r="H444" t="s">
        <v>137</v>
      </c>
      <c r="I444" t="s">
        <v>57</v>
      </c>
      <c r="J444" t="s">
        <v>612</v>
      </c>
      <c r="K444" s="3">
        <v>1095</v>
      </c>
      <c r="L444" s="3">
        <v>627</v>
      </c>
      <c r="M444" s="3">
        <v>1722</v>
      </c>
      <c r="N444" s="4">
        <v>0.64</v>
      </c>
      <c r="O444" s="3">
        <v>42</v>
      </c>
      <c r="P444" s="3"/>
      <c r="Q444" s="3">
        <v>22</v>
      </c>
      <c r="R444" s="3">
        <v>42</v>
      </c>
      <c r="S444" s="5">
        <v>3.4</v>
      </c>
      <c r="T444" s="5">
        <v>3.4</v>
      </c>
      <c r="U444" s="4">
        <v>0.69</v>
      </c>
      <c r="V444" s="4">
        <v>0.64</v>
      </c>
      <c r="W444" s="4">
        <v>0.76</v>
      </c>
      <c r="X444" s="4">
        <v>0</v>
      </c>
      <c r="Y444" s="4">
        <v>0.52</v>
      </c>
      <c r="Z444" s="4">
        <v>0.36</v>
      </c>
      <c r="AA444" s="3">
        <v>0</v>
      </c>
      <c r="AB444" s="3">
        <v>0</v>
      </c>
      <c r="AC444" s="5">
        <v>0</v>
      </c>
      <c r="AD444" s="4">
        <v>0</v>
      </c>
      <c r="AE444" s="4">
        <v>0</v>
      </c>
      <c r="AF444" s="4">
        <v>0</v>
      </c>
      <c r="AG444" s="4">
        <v>1</v>
      </c>
      <c r="AH444" s="4">
        <v>0.61</v>
      </c>
      <c r="AI444" s="4">
        <v>0</v>
      </c>
      <c r="AJ444" t="s">
        <v>72</v>
      </c>
      <c r="AK444" t="s">
        <v>61</v>
      </c>
      <c r="AL444" t="s">
        <v>62</v>
      </c>
      <c r="AM444" t="s">
        <v>63</v>
      </c>
      <c r="AN444" t="s">
        <v>64</v>
      </c>
      <c r="AO444" t="s">
        <v>79</v>
      </c>
      <c r="AP444" t="s">
        <v>75</v>
      </c>
    </row>
    <row r="445" spans="1:42" x14ac:dyDescent="0.25">
      <c r="A445" t="str">
        <f>HYPERLINK("HTTP://10.0.1.74/krs/749/detail","/krs/749")</f>
        <v>/krs/749</v>
      </c>
      <c r="B445">
        <v>749</v>
      </c>
      <c r="C445" t="s">
        <v>257</v>
      </c>
      <c r="D445" t="s">
        <v>81</v>
      </c>
      <c r="E445" t="s">
        <v>135</v>
      </c>
      <c r="F445" t="s">
        <v>95</v>
      </c>
      <c r="G445" s="1">
        <v>43087</v>
      </c>
      <c r="H445" t="s">
        <v>137</v>
      </c>
      <c r="I445" t="s">
        <v>57</v>
      </c>
      <c r="J445" t="s">
        <v>613</v>
      </c>
      <c r="K445" s="3">
        <v>1090</v>
      </c>
      <c r="L445" s="3">
        <v>575</v>
      </c>
      <c r="M445" s="3">
        <v>1665</v>
      </c>
      <c r="N445" s="4">
        <v>0.65</v>
      </c>
      <c r="O445" s="3">
        <v>45</v>
      </c>
      <c r="P445" s="3"/>
      <c r="Q445" s="3">
        <v>18</v>
      </c>
      <c r="R445" s="3">
        <v>45</v>
      </c>
      <c r="S445" s="5">
        <v>3.3</v>
      </c>
      <c r="T445" s="5">
        <v>3.3</v>
      </c>
      <c r="U445" s="4">
        <v>0.66</v>
      </c>
      <c r="V445" s="4">
        <v>0.65</v>
      </c>
      <c r="W445" s="4">
        <v>0.76</v>
      </c>
      <c r="X445" s="4">
        <v>0</v>
      </c>
      <c r="Y445" s="4">
        <v>0.4</v>
      </c>
      <c r="Z445" s="4">
        <v>0.35</v>
      </c>
      <c r="AA445" s="3">
        <v>0</v>
      </c>
      <c r="AB445" s="3">
        <v>0</v>
      </c>
      <c r="AC445" s="5">
        <v>0</v>
      </c>
      <c r="AD445" s="4">
        <v>0</v>
      </c>
      <c r="AE445" s="4">
        <v>0</v>
      </c>
      <c r="AF445" s="4">
        <v>0</v>
      </c>
      <c r="AG445" s="4">
        <v>1</v>
      </c>
      <c r="AH445" s="4">
        <v>0.64</v>
      </c>
      <c r="AI445" s="4">
        <v>0</v>
      </c>
      <c r="AJ445" t="s">
        <v>72</v>
      </c>
      <c r="AK445" t="s">
        <v>61</v>
      </c>
      <c r="AL445" t="s">
        <v>62</v>
      </c>
      <c r="AM445" t="s">
        <v>63</v>
      </c>
      <c r="AN445" t="s">
        <v>64</v>
      </c>
      <c r="AO445" t="s">
        <v>79</v>
      </c>
      <c r="AP445" t="s">
        <v>75</v>
      </c>
    </row>
    <row r="446" spans="1:42" x14ac:dyDescent="0.25">
      <c r="A446" t="str">
        <f>HYPERLINK("HTTP://10.0.1.74/krs/750/detail","/krs/750")</f>
        <v>/krs/750</v>
      </c>
      <c r="B446">
        <v>750</v>
      </c>
      <c r="C446" t="s">
        <v>288</v>
      </c>
      <c r="D446" t="s">
        <v>81</v>
      </c>
      <c r="E446" t="s">
        <v>135</v>
      </c>
      <c r="F446" t="s">
        <v>95</v>
      </c>
      <c r="G446" s="1">
        <v>43138</v>
      </c>
      <c r="H446" t="s">
        <v>137</v>
      </c>
      <c r="I446" t="s">
        <v>57</v>
      </c>
      <c r="J446" t="s">
        <v>614</v>
      </c>
      <c r="K446" s="3">
        <v>607</v>
      </c>
      <c r="L446" s="3">
        <v>653</v>
      </c>
      <c r="M446" s="3">
        <v>1260</v>
      </c>
      <c r="N446" s="4">
        <v>0.48</v>
      </c>
      <c r="O446" s="3">
        <v>42</v>
      </c>
      <c r="P446" s="3"/>
      <c r="Q446" s="3">
        <v>10</v>
      </c>
      <c r="R446" s="3">
        <v>42</v>
      </c>
      <c r="S446" s="5">
        <v>2.6</v>
      </c>
      <c r="T446" s="5">
        <v>2.6</v>
      </c>
      <c r="U446" s="4">
        <v>0.53</v>
      </c>
      <c r="V446" s="4">
        <v>0.48</v>
      </c>
      <c r="W446" s="4">
        <v>0.5</v>
      </c>
      <c r="X446" s="4">
        <v>0</v>
      </c>
      <c r="Y446" s="4">
        <v>0.24</v>
      </c>
      <c r="Z446" s="4">
        <v>0.52</v>
      </c>
      <c r="AA446" s="3">
        <v>0</v>
      </c>
      <c r="AB446" s="3">
        <v>0</v>
      </c>
      <c r="AC446" s="5">
        <v>0</v>
      </c>
      <c r="AD446" s="4">
        <v>0</v>
      </c>
      <c r="AE446" s="4">
        <v>0</v>
      </c>
      <c r="AF446" s="4">
        <v>0</v>
      </c>
      <c r="AG446" s="4">
        <v>1</v>
      </c>
      <c r="AH446" s="4">
        <v>0.47</v>
      </c>
      <c r="AI446" s="4">
        <v>0</v>
      </c>
      <c r="AJ446" t="s">
        <v>72</v>
      </c>
      <c r="AK446" t="s">
        <v>86</v>
      </c>
      <c r="AL446" t="s">
        <v>61</v>
      </c>
      <c r="AM446" t="s">
        <v>63</v>
      </c>
      <c r="AN446" t="s">
        <v>64</v>
      </c>
      <c r="AO446" t="s">
        <v>79</v>
      </c>
      <c r="AP446" t="s">
        <v>75</v>
      </c>
    </row>
    <row r="447" spans="1:42" x14ac:dyDescent="0.25">
      <c r="A447" t="str">
        <f>HYPERLINK("HTTP://10.0.1.74/krs/751/detail","/krs/751")</f>
        <v>/krs/751</v>
      </c>
      <c r="B447">
        <v>751</v>
      </c>
      <c r="C447" t="s">
        <v>354</v>
      </c>
      <c r="D447" t="s">
        <v>81</v>
      </c>
      <c r="E447" t="s">
        <v>135</v>
      </c>
      <c r="F447" t="s">
        <v>95</v>
      </c>
      <c r="G447" s="1">
        <v>43171</v>
      </c>
      <c r="H447" t="s">
        <v>137</v>
      </c>
      <c r="I447" t="s">
        <v>57</v>
      </c>
      <c r="J447" t="s">
        <v>615</v>
      </c>
      <c r="K447" s="3">
        <v>915</v>
      </c>
      <c r="L447" s="3">
        <v>542</v>
      </c>
      <c r="M447" s="3">
        <v>1457</v>
      </c>
      <c r="N447" s="4">
        <v>0.63</v>
      </c>
      <c r="O447" s="3">
        <v>47</v>
      </c>
      <c r="P447" s="3"/>
      <c r="Q447" s="3">
        <v>20</v>
      </c>
      <c r="R447" s="3">
        <v>47</v>
      </c>
      <c r="S447" s="5">
        <v>3.2</v>
      </c>
      <c r="T447" s="5">
        <v>3.2</v>
      </c>
      <c r="U447" s="4">
        <v>0.65</v>
      </c>
      <c r="V447" s="4">
        <v>0.63</v>
      </c>
      <c r="W447" s="4">
        <v>0.7</v>
      </c>
      <c r="X447" s="4">
        <v>0</v>
      </c>
      <c r="Y447" s="4">
        <v>0.43</v>
      </c>
      <c r="Z447" s="4">
        <v>0.37</v>
      </c>
      <c r="AA447" s="3">
        <v>0</v>
      </c>
      <c r="AB447" s="3">
        <v>0</v>
      </c>
      <c r="AC447" s="5">
        <v>0</v>
      </c>
      <c r="AD447" s="4">
        <v>0</v>
      </c>
      <c r="AE447" s="4">
        <v>0</v>
      </c>
      <c r="AF447" s="4">
        <v>0</v>
      </c>
      <c r="AG447" s="4">
        <v>1</v>
      </c>
      <c r="AH447" s="4">
        <v>0.6</v>
      </c>
      <c r="AI447" s="4">
        <v>0</v>
      </c>
      <c r="AJ447" t="s">
        <v>72</v>
      </c>
      <c r="AK447" t="s">
        <v>61</v>
      </c>
      <c r="AL447" t="s">
        <v>62</v>
      </c>
      <c r="AM447" t="s">
        <v>63</v>
      </c>
      <c r="AN447" t="s">
        <v>64</v>
      </c>
      <c r="AO447" t="s">
        <v>79</v>
      </c>
      <c r="AP447" t="s">
        <v>75</v>
      </c>
    </row>
    <row r="448" spans="1:42" x14ac:dyDescent="0.25">
      <c r="A448" t="str">
        <f>HYPERLINK("HTTP://10.0.1.74/krs/752/detail","/krs/752")</f>
        <v>/krs/752</v>
      </c>
      <c r="B448">
        <v>752</v>
      </c>
      <c r="C448" t="s">
        <v>603</v>
      </c>
      <c r="D448" t="s">
        <v>81</v>
      </c>
      <c r="E448" t="s">
        <v>135</v>
      </c>
      <c r="F448" t="s">
        <v>95</v>
      </c>
      <c r="G448" s="1">
        <v>43220</v>
      </c>
      <c r="H448" t="s">
        <v>137</v>
      </c>
      <c r="I448" t="s">
        <v>57</v>
      </c>
      <c r="J448" t="s">
        <v>616</v>
      </c>
      <c r="K448" s="3">
        <v>771</v>
      </c>
      <c r="L448" s="3">
        <v>329</v>
      </c>
      <c r="M448" s="3">
        <v>1100</v>
      </c>
      <c r="N448" s="4">
        <v>0.7</v>
      </c>
      <c r="O448" s="3">
        <v>44</v>
      </c>
      <c r="P448" s="3"/>
      <c r="Q448" s="3">
        <v>23</v>
      </c>
      <c r="R448" s="3">
        <v>44</v>
      </c>
      <c r="S448" s="5">
        <v>3.6</v>
      </c>
      <c r="T448" s="5">
        <v>3.6</v>
      </c>
      <c r="U448" s="4">
        <v>0.72</v>
      </c>
      <c r="V448" s="4">
        <v>0.7</v>
      </c>
      <c r="W448" s="4">
        <v>0.8</v>
      </c>
      <c r="X448" s="4">
        <v>0</v>
      </c>
      <c r="Y448" s="4">
        <v>0.52</v>
      </c>
      <c r="Z448" s="4">
        <v>0.3</v>
      </c>
      <c r="AA448" s="3">
        <v>0</v>
      </c>
      <c r="AB448" s="3">
        <v>0</v>
      </c>
      <c r="AC448" s="5">
        <v>0</v>
      </c>
      <c r="AD448" s="4">
        <v>0</v>
      </c>
      <c r="AE448" s="4">
        <v>0</v>
      </c>
      <c r="AF448" s="4">
        <v>0</v>
      </c>
      <c r="AG448" s="4">
        <v>1</v>
      </c>
      <c r="AH448" s="4">
        <v>0.71</v>
      </c>
      <c r="AI448" s="4">
        <v>0</v>
      </c>
      <c r="AJ448" t="s">
        <v>72</v>
      </c>
      <c r="AK448" t="s">
        <v>62</v>
      </c>
      <c r="AL448" t="s">
        <v>62</v>
      </c>
      <c r="AM448" t="s">
        <v>63</v>
      </c>
      <c r="AN448" t="s">
        <v>64</v>
      </c>
      <c r="AO448" t="s">
        <v>79</v>
      </c>
      <c r="AP448" t="s">
        <v>75</v>
      </c>
    </row>
    <row r="449" spans="1:42" x14ac:dyDescent="0.25">
      <c r="A449" t="str">
        <f>HYPERLINK("HTTP://10.0.1.74/krs/753/detail","/krs/753")</f>
        <v>/krs/753</v>
      </c>
      <c r="B449">
        <v>753</v>
      </c>
      <c r="C449" t="s">
        <v>259</v>
      </c>
      <c r="D449" t="s">
        <v>81</v>
      </c>
      <c r="E449" t="s">
        <v>135</v>
      </c>
      <c r="F449" t="s">
        <v>267</v>
      </c>
      <c r="G449" s="1">
        <v>43244</v>
      </c>
      <c r="H449" t="s">
        <v>412</v>
      </c>
      <c r="I449" t="s">
        <v>57</v>
      </c>
      <c r="J449" t="s">
        <v>617</v>
      </c>
      <c r="K449" s="3">
        <v>708</v>
      </c>
      <c r="L449" s="3">
        <v>372</v>
      </c>
      <c r="M449" s="3">
        <v>1080</v>
      </c>
      <c r="N449" s="4">
        <v>0.66</v>
      </c>
      <c r="O449" s="3">
        <v>24</v>
      </c>
      <c r="P449" s="3"/>
      <c r="Q449" s="3">
        <v>13</v>
      </c>
      <c r="R449" s="3">
        <v>24</v>
      </c>
      <c r="S449" s="5">
        <v>3.7</v>
      </c>
      <c r="T449" s="5">
        <v>3.6</v>
      </c>
      <c r="U449" s="4">
        <v>0.72</v>
      </c>
      <c r="V449" s="4">
        <v>0.66</v>
      </c>
      <c r="W449" s="4">
        <v>1</v>
      </c>
      <c r="X449" s="4">
        <v>0</v>
      </c>
      <c r="Y449" s="4">
        <v>0.54</v>
      </c>
      <c r="Z449" s="4">
        <v>0.34</v>
      </c>
      <c r="AA449" s="3">
        <v>0</v>
      </c>
      <c r="AB449" s="3">
        <v>0</v>
      </c>
      <c r="AC449" s="5">
        <v>0</v>
      </c>
      <c r="AD449" s="4">
        <v>0</v>
      </c>
      <c r="AE449" s="4">
        <v>0</v>
      </c>
      <c r="AF449" s="4">
        <v>0</v>
      </c>
      <c r="AG449" s="4">
        <v>1</v>
      </c>
      <c r="AH449" s="4">
        <v>0.66</v>
      </c>
      <c r="AI449" s="4">
        <v>0</v>
      </c>
      <c r="AJ449" t="s">
        <v>72</v>
      </c>
      <c r="AK449" t="s">
        <v>61</v>
      </c>
      <c r="AL449" t="s">
        <v>62</v>
      </c>
      <c r="AM449" t="s">
        <v>63</v>
      </c>
      <c r="AN449" t="s">
        <v>64</v>
      </c>
      <c r="AO449" t="s">
        <v>79</v>
      </c>
      <c r="AP449" t="s">
        <v>75</v>
      </c>
    </row>
    <row r="450" spans="1:42" x14ac:dyDescent="0.25">
      <c r="A450" t="str">
        <f>HYPERLINK("HTTP://10.0.1.74/krs/754/detail","/krs/754")</f>
        <v>/krs/754</v>
      </c>
      <c r="B450">
        <v>754</v>
      </c>
      <c r="C450" t="s">
        <v>53</v>
      </c>
      <c r="D450" t="s">
        <v>81</v>
      </c>
      <c r="E450" t="s">
        <v>135</v>
      </c>
      <c r="F450" t="s">
        <v>365</v>
      </c>
      <c r="G450" s="1">
        <v>43061</v>
      </c>
      <c r="H450" t="s">
        <v>137</v>
      </c>
      <c r="I450" t="s">
        <v>57</v>
      </c>
      <c r="K450" s="3">
        <v>417</v>
      </c>
      <c r="L450" s="3">
        <v>303</v>
      </c>
      <c r="M450" s="3">
        <v>720</v>
      </c>
      <c r="N450" s="4">
        <v>0.57999999999999996</v>
      </c>
      <c r="O450" s="3">
        <v>24</v>
      </c>
      <c r="P450" s="3"/>
      <c r="Q450" s="3">
        <v>9</v>
      </c>
      <c r="R450" s="3">
        <v>24</v>
      </c>
      <c r="S450" s="5">
        <v>3</v>
      </c>
      <c r="T450" s="5">
        <v>3</v>
      </c>
      <c r="U450" s="4">
        <v>0.61</v>
      </c>
      <c r="V450" s="4">
        <v>0.57999999999999996</v>
      </c>
      <c r="W450" s="4">
        <v>0.57999999999999996</v>
      </c>
      <c r="X450" s="4">
        <v>0</v>
      </c>
      <c r="Y450" s="4">
        <v>0.38</v>
      </c>
      <c r="Z450" s="4">
        <v>0.42</v>
      </c>
      <c r="AA450" s="3">
        <v>0</v>
      </c>
      <c r="AB450" s="3">
        <v>0</v>
      </c>
      <c r="AC450" s="5">
        <v>0</v>
      </c>
      <c r="AD450" s="4">
        <v>0</v>
      </c>
      <c r="AE450" s="4">
        <v>0</v>
      </c>
      <c r="AF450" s="4">
        <v>0</v>
      </c>
      <c r="AG450" s="4">
        <v>1</v>
      </c>
      <c r="AH450" s="4">
        <v>0.55000000000000004</v>
      </c>
      <c r="AI450" s="4">
        <v>0</v>
      </c>
      <c r="AJ450" t="s">
        <v>72</v>
      </c>
      <c r="AK450" t="s">
        <v>86</v>
      </c>
      <c r="AL450" t="s">
        <v>61</v>
      </c>
      <c r="AM450" t="s">
        <v>63</v>
      </c>
      <c r="AN450" t="s">
        <v>64</v>
      </c>
      <c r="AO450" t="s">
        <v>79</v>
      </c>
      <c r="AP450" t="s">
        <v>75</v>
      </c>
    </row>
    <row r="451" spans="1:42" x14ac:dyDescent="0.25">
      <c r="A451" t="str">
        <f>HYPERLINK("HTTP://10.0.1.74/krs/755/detail","/krs/755")</f>
        <v>/krs/755</v>
      </c>
      <c r="B451">
        <v>755</v>
      </c>
      <c r="C451" t="s">
        <v>257</v>
      </c>
      <c r="D451" t="s">
        <v>81</v>
      </c>
      <c r="E451" t="s">
        <v>135</v>
      </c>
      <c r="F451" t="s">
        <v>365</v>
      </c>
      <c r="G451" s="1">
        <v>43173</v>
      </c>
      <c r="H451" t="s">
        <v>137</v>
      </c>
      <c r="I451" t="s">
        <v>57</v>
      </c>
      <c r="J451" t="s">
        <v>618</v>
      </c>
      <c r="K451" s="3">
        <v>439</v>
      </c>
      <c r="L451" s="3">
        <v>311</v>
      </c>
      <c r="M451" s="3">
        <v>750</v>
      </c>
      <c r="N451" s="4">
        <v>0.59</v>
      </c>
      <c r="O451" s="3">
        <v>25</v>
      </c>
      <c r="P451" s="3"/>
      <c r="Q451" s="3">
        <v>10</v>
      </c>
      <c r="R451" s="3">
        <v>25</v>
      </c>
      <c r="S451" s="5">
        <v>3.2</v>
      </c>
      <c r="T451" s="5">
        <v>3.2</v>
      </c>
      <c r="U451" s="4">
        <v>0.64</v>
      </c>
      <c r="V451" s="4">
        <v>0.59</v>
      </c>
      <c r="W451" s="4">
        <v>0.84</v>
      </c>
      <c r="X451" s="4">
        <v>0</v>
      </c>
      <c r="Y451" s="4">
        <v>0.4</v>
      </c>
      <c r="Z451" s="4">
        <v>0.41</v>
      </c>
      <c r="AA451" s="3">
        <v>0</v>
      </c>
      <c r="AB451" s="3">
        <v>0</v>
      </c>
      <c r="AC451" s="5">
        <v>0</v>
      </c>
      <c r="AD451" s="4">
        <v>0</v>
      </c>
      <c r="AE451" s="4">
        <v>0</v>
      </c>
      <c r="AF451" s="4">
        <v>0</v>
      </c>
      <c r="AG451" s="4">
        <v>1</v>
      </c>
      <c r="AH451" s="4">
        <v>0.51</v>
      </c>
      <c r="AI451" s="4">
        <v>0</v>
      </c>
      <c r="AJ451" t="s">
        <v>72</v>
      </c>
      <c r="AK451" t="s">
        <v>86</v>
      </c>
      <c r="AL451" t="s">
        <v>62</v>
      </c>
      <c r="AM451" t="s">
        <v>63</v>
      </c>
      <c r="AN451" t="s">
        <v>64</v>
      </c>
      <c r="AO451" t="s">
        <v>79</v>
      </c>
      <c r="AP451" t="s">
        <v>75</v>
      </c>
    </row>
    <row r="452" spans="1:42" x14ac:dyDescent="0.25">
      <c r="A452" t="str">
        <f>HYPERLINK("HTTP://10.0.1.74/krs/756/detail","/krs/756")</f>
        <v>/krs/756</v>
      </c>
      <c r="B452">
        <v>756</v>
      </c>
      <c r="C452" t="s">
        <v>288</v>
      </c>
      <c r="D452" t="s">
        <v>81</v>
      </c>
      <c r="E452" t="s">
        <v>135</v>
      </c>
      <c r="F452" t="s">
        <v>365</v>
      </c>
      <c r="G452" s="1">
        <v>43218</v>
      </c>
      <c r="H452" t="s">
        <v>137</v>
      </c>
      <c r="I452" t="s">
        <v>57</v>
      </c>
      <c r="J452" t="s">
        <v>619</v>
      </c>
      <c r="K452" s="3">
        <v>421</v>
      </c>
      <c r="L452" s="3">
        <v>591</v>
      </c>
      <c r="M452" s="3">
        <v>1012</v>
      </c>
      <c r="N452" s="4">
        <v>0.42</v>
      </c>
      <c r="O452" s="3">
        <v>23</v>
      </c>
      <c r="P452" s="3"/>
      <c r="Q452" s="3">
        <v>1</v>
      </c>
      <c r="R452" s="3">
        <v>23</v>
      </c>
      <c r="S452" s="5">
        <v>2.4</v>
      </c>
      <c r="T452" s="5">
        <v>2.4</v>
      </c>
      <c r="U452" s="4">
        <v>0.49</v>
      </c>
      <c r="V452" s="4">
        <v>0.42</v>
      </c>
      <c r="W452" s="4">
        <v>0.39</v>
      </c>
      <c r="X452" s="4">
        <v>0</v>
      </c>
      <c r="Y452" s="4">
        <v>0.04</v>
      </c>
      <c r="Z452" s="4">
        <v>0.57999999999999996</v>
      </c>
      <c r="AA452" s="3">
        <v>0</v>
      </c>
      <c r="AB452" s="3">
        <v>0</v>
      </c>
      <c r="AC452" s="5">
        <v>0</v>
      </c>
      <c r="AD452" s="4">
        <v>0</v>
      </c>
      <c r="AE452" s="4">
        <v>0</v>
      </c>
      <c r="AF452" s="4">
        <v>0</v>
      </c>
      <c r="AG452" s="4">
        <v>1</v>
      </c>
      <c r="AH452" s="4">
        <v>0.44</v>
      </c>
      <c r="AI452" s="4">
        <v>0</v>
      </c>
      <c r="AJ452" t="s">
        <v>72</v>
      </c>
      <c r="AK452" t="s">
        <v>86</v>
      </c>
      <c r="AL452" t="s">
        <v>86</v>
      </c>
      <c r="AM452" t="s">
        <v>63</v>
      </c>
      <c r="AN452" t="s">
        <v>97</v>
      </c>
      <c r="AO452" t="s">
        <v>79</v>
      </c>
      <c r="AP452" t="s">
        <v>75</v>
      </c>
    </row>
    <row r="453" spans="1:42" x14ac:dyDescent="0.25">
      <c r="A453" t="str">
        <f>HYPERLINK("HTTP://10.0.1.74/krs/758/detail","/krs/758")</f>
        <v>/krs/758</v>
      </c>
      <c r="B453">
        <v>758</v>
      </c>
      <c r="C453" t="s">
        <v>620</v>
      </c>
      <c r="D453" t="s">
        <v>140</v>
      </c>
      <c r="E453" t="s">
        <v>141</v>
      </c>
      <c r="F453" t="s">
        <v>126</v>
      </c>
      <c r="G453" s="1">
        <v>43251</v>
      </c>
      <c r="H453" t="s">
        <v>212</v>
      </c>
      <c r="I453" t="s">
        <v>51</v>
      </c>
      <c r="K453" s="3"/>
      <c r="L453" s="3"/>
      <c r="M453" s="3"/>
      <c r="N453" s="4"/>
      <c r="O453" s="3"/>
      <c r="P453" s="3"/>
      <c r="Q453" s="3"/>
      <c r="R453" s="3"/>
      <c r="S453" s="5"/>
      <c r="T453" s="5"/>
      <c r="U453" s="4"/>
      <c r="V453" s="4"/>
      <c r="W453" s="4"/>
      <c r="X453" s="4"/>
      <c r="Y453" s="4"/>
      <c r="Z453" s="4"/>
      <c r="AA453" s="3"/>
      <c r="AB453" s="3"/>
      <c r="AC453" s="5"/>
      <c r="AD453" s="4"/>
      <c r="AE453" s="4"/>
      <c r="AF453" s="4"/>
      <c r="AG453" s="4"/>
      <c r="AH453" s="4"/>
      <c r="AI453" s="4"/>
      <c r="AJ453" t="s">
        <v>52</v>
      </c>
      <c r="AK453" t="s">
        <v>52</v>
      </c>
      <c r="AL453" t="s">
        <v>52</v>
      </c>
      <c r="AM453" t="s">
        <v>52</v>
      </c>
      <c r="AN453" t="s">
        <v>52</v>
      </c>
      <c r="AO453" t="s">
        <v>52</v>
      </c>
      <c r="AP453" t="s">
        <v>52</v>
      </c>
    </row>
    <row r="454" spans="1:42" x14ac:dyDescent="0.25">
      <c r="A454" t="str">
        <f>HYPERLINK("HTTP://10.0.1.74/krs/759/detail","/krs/759")</f>
        <v>/krs/759</v>
      </c>
      <c r="B454">
        <v>759</v>
      </c>
      <c r="C454" t="s">
        <v>621</v>
      </c>
      <c r="D454" t="s">
        <v>140</v>
      </c>
      <c r="E454" t="s">
        <v>141</v>
      </c>
      <c r="F454" t="s">
        <v>126</v>
      </c>
      <c r="G454" s="1">
        <v>43293.774351851855</v>
      </c>
      <c r="H454" t="s">
        <v>212</v>
      </c>
      <c r="I454" t="s">
        <v>51</v>
      </c>
      <c r="K454" s="3">
        <v>1025</v>
      </c>
      <c r="L454" s="3">
        <v>262</v>
      </c>
      <c r="M454" s="3">
        <v>1287</v>
      </c>
      <c r="N454" s="4">
        <v>0.8</v>
      </c>
      <c r="O454" s="3">
        <v>33</v>
      </c>
      <c r="P454" s="3"/>
      <c r="Q454" s="3">
        <v>26</v>
      </c>
      <c r="R454" s="3">
        <v>33</v>
      </c>
      <c r="S454" s="5">
        <v>4.0999999999999996</v>
      </c>
      <c r="T454" s="5">
        <v>3.9</v>
      </c>
      <c r="U454" s="4">
        <v>0.78</v>
      </c>
      <c r="V454" s="4">
        <v>0.8</v>
      </c>
      <c r="W454" s="4">
        <v>1</v>
      </c>
      <c r="X454" s="4">
        <v>0.99</v>
      </c>
      <c r="Y454" s="4">
        <v>0.79</v>
      </c>
      <c r="Z454" s="4">
        <v>0.2</v>
      </c>
      <c r="AA454" s="3">
        <v>22</v>
      </c>
      <c r="AB454" s="3">
        <v>11</v>
      </c>
      <c r="AC454" s="5">
        <v>4</v>
      </c>
      <c r="AD454" s="4">
        <v>1</v>
      </c>
      <c r="AE454" s="4">
        <v>0.81</v>
      </c>
      <c r="AF454" s="4">
        <v>0.5</v>
      </c>
      <c r="AG454" s="4">
        <v>0.19</v>
      </c>
      <c r="AH454" s="4">
        <v>0.85</v>
      </c>
      <c r="AI454" s="4">
        <v>0.77</v>
      </c>
      <c r="AJ454" t="s">
        <v>72</v>
      </c>
      <c r="AK454" t="s">
        <v>62</v>
      </c>
      <c r="AL454" t="s">
        <v>62</v>
      </c>
      <c r="AM454" t="s">
        <v>63</v>
      </c>
      <c r="AN454" t="s">
        <v>64</v>
      </c>
      <c r="AO454" t="s">
        <v>79</v>
      </c>
      <c r="AP454" t="s">
        <v>66</v>
      </c>
    </row>
    <row r="455" spans="1:42" x14ac:dyDescent="0.25">
      <c r="A455" t="str">
        <f>HYPERLINK("HTTP://10.0.1.74/krs/760/detail","/krs/760")</f>
        <v>/krs/760</v>
      </c>
      <c r="B455">
        <v>760</v>
      </c>
      <c r="C455" t="s">
        <v>622</v>
      </c>
      <c r="D455" t="s">
        <v>140</v>
      </c>
      <c r="E455" t="s">
        <v>111</v>
      </c>
      <c r="F455" t="s">
        <v>126</v>
      </c>
      <c r="G455" s="1">
        <v>43293.903865740744</v>
      </c>
      <c r="H455" t="s">
        <v>212</v>
      </c>
      <c r="I455" t="s">
        <v>51</v>
      </c>
      <c r="K455" s="3">
        <v>145</v>
      </c>
      <c r="L455" s="3">
        <v>75</v>
      </c>
      <c r="M455" s="3">
        <v>220</v>
      </c>
      <c r="N455" s="4">
        <v>0.66</v>
      </c>
      <c r="O455" s="3">
        <v>5</v>
      </c>
      <c r="P455" s="3"/>
      <c r="Q455" s="3">
        <v>3</v>
      </c>
      <c r="R455" s="3">
        <v>5</v>
      </c>
      <c r="S455" s="5">
        <v>3.6</v>
      </c>
      <c r="T455" s="5">
        <v>3.6</v>
      </c>
      <c r="U455" s="4">
        <v>0.72</v>
      </c>
      <c r="V455" s="4">
        <v>0.66</v>
      </c>
      <c r="W455" s="4">
        <v>1</v>
      </c>
      <c r="X455" s="4">
        <v>0.8</v>
      </c>
      <c r="Y455" s="4">
        <v>0.6</v>
      </c>
      <c r="Z455" s="4">
        <v>0.34</v>
      </c>
      <c r="AA455" s="3">
        <v>4</v>
      </c>
      <c r="AB455" s="3">
        <v>4</v>
      </c>
      <c r="AC455" s="5">
        <v>4.0999999999999996</v>
      </c>
      <c r="AD455" s="4">
        <v>1</v>
      </c>
      <c r="AE455" s="4">
        <v>0.82</v>
      </c>
      <c r="AF455" s="4">
        <v>1</v>
      </c>
      <c r="AG455" s="4">
        <v>0.18</v>
      </c>
      <c r="AH455" s="4">
        <v>0.75</v>
      </c>
      <c r="AI455" s="4">
        <v>0.64</v>
      </c>
      <c r="AJ455" t="s">
        <v>72</v>
      </c>
      <c r="AK455" t="s">
        <v>61</v>
      </c>
      <c r="AL455" t="s">
        <v>62</v>
      </c>
      <c r="AM455" t="s">
        <v>73</v>
      </c>
      <c r="AN455" t="s">
        <v>64</v>
      </c>
      <c r="AO455" t="s">
        <v>74</v>
      </c>
      <c r="AP455" t="s">
        <v>75</v>
      </c>
    </row>
    <row r="456" spans="1:42" x14ac:dyDescent="0.25">
      <c r="A456" t="str">
        <f>HYPERLINK("HTTP://10.0.1.74/krs/761/detail","/krs/761")</f>
        <v>/krs/761</v>
      </c>
      <c r="B456">
        <v>761</v>
      </c>
      <c r="C456" t="s">
        <v>623</v>
      </c>
      <c r="D456" t="s">
        <v>140</v>
      </c>
      <c r="E456" t="s">
        <v>143</v>
      </c>
      <c r="F456" t="s">
        <v>126</v>
      </c>
      <c r="G456" s="1">
        <v>43337.45355795139</v>
      </c>
      <c r="H456" t="s">
        <v>231</v>
      </c>
      <c r="I456" t="s">
        <v>51</v>
      </c>
      <c r="J456" t="s">
        <v>264</v>
      </c>
      <c r="K456" s="3"/>
      <c r="L456" s="3"/>
      <c r="M456" s="3"/>
      <c r="N456" s="4"/>
      <c r="O456" s="3"/>
      <c r="P456" s="3"/>
      <c r="Q456" s="3"/>
      <c r="R456" s="3"/>
      <c r="S456" s="5"/>
      <c r="T456" s="5"/>
      <c r="U456" s="4"/>
      <c r="V456" s="4"/>
      <c r="W456" s="4"/>
      <c r="X456" s="4"/>
      <c r="Y456" s="4"/>
      <c r="Z456" s="4"/>
      <c r="AA456" s="3"/>
      <c r="AB456" s="3"/>
      <c r="AC456" s="5"/>
      <c r="AD456" s="4"/>
      <c r="AE456" s="4"/>
      <c r="AF456" s="4"/>
      <c r="AG456" s="4"/>
      <c r="AH456" s="4"/>
      <c r="AI456" s="4"/>
      <c r="AJ456" t="s">
        <v>52</v>
      </c>
      <c r="AK456" t="s">
        <v>52</v>
      </c>
      <c r="AL456" t="s">
        <v>52</v>
      </c>
      <c r="AM456" t="s">
        <v>52</v>
      </c>
      <c r="AN456" t="s">
        <v>52</v>
      </c>
      <c r="AO456" t="s">
        <v>52</v>
      </c>
      <c r="AP456" t="s">
        <v>52</v>
      </c>
    </row>
    <row r="457" spans="1:42" x14ac:dyDescent="0.25">
      <c r="A457" t="str">
        <f>HYPERLINK("HTTP://10.0.1.74/krs/762/detail","/krs/762")</f>
        <v>/krs/762</v>
      </c>
      <c r="B457">
        <v>762</v>
      </c>
      <c r="C457" t="s">
        <v>46</v>
      </c>
      <c r="D457" t="s">
        <v>47</v>
      </c>
      <c r="E457" t="s">
        <v>157</v>
      </c>
      <c r="F457" t="s">
        <v>162</v>
      </c>
      <c r="G457" s="1">
        <v>43347.593159722222</v>
      </c>
      <c r="H457" t="s">
        <v>158</v>
      </c>
      <c r="I457" t="s">
        <v>51</v>
      </c>
      <c r="J457" t="s">
        <v>624</v>
      </c>
      <c r="K457" s="3">
        <v>77</v>
      </c>
      <c r="L457" s="3">
        <v>203</v>
      </c>
      <c r="M457" s="3">
        <v>280</v>
      </c>
      <c r="N457" s="4">
        <v>0.28000000000000003</v>
      </c>
      <c r="O457" s="3">
        <v>7</v>
      </c>
      <c r="P457" s="3"/>
      <c r="Q457" s="3">
        <v>2</v>
      </c>
      <c r="R457" s="3">
        <v>7</v>
      </c>
      <c r="S457" s="5">
        <v>3</v>
      </c>
      <c r="T457" s="5">
        <v>3</v>
      </c>
      <c r="U457" s="4">
        <v>0.6</v>
      </c>
      <c r="V457" s="4">
        <v>0.28000000000000003</v>
      </c>
      <c r="W457" s="4">
        <v>0.71</v>
      </c>
      <c r="X457" s="4">
        <v>0.31</v>
      </c>
      <c r="Y457" s="4">
        <v>0.28999999999999998</v>
      </c>
      <c r="Z457" s="4">
        <v>0.72</v>
      </c>
      <c r="AA457" s="3">
        <v>8</v>
      </c>
      <c r="AB457" s="3">
        <v>8</v>
      </c>
      <c r="AC457" s="5">
        <v>4.5</v>
      </c>
      <c r="AD457" s="4">
        <v>1</v>
      </c>
      <c r="AE457" s="4">
        <v>0.89</v>
      </c>
      <c r="AF457" s="4">
        <v>1</v>
      </c>
      <c r="AG457" s="4">
        <v>0.11</v>
      </c>
      <c r="AH457" s="4">
        <v>0.34</v>
      </c>
      <c r="AI457" s="4">
        <v>0.2</v>
      </c>
      <c r="AJ457" t="s">
        <v>60</v>
      </c>
      <c r="AK457" t="s">
        <v>86</v>
      </c>
      <c r="AL457" t="s">
        <v>62</v>
      </c>
      <c r="AM457" t="s">
        <v>73</v>
      </c>
      <c r="AN457" t="s">
        <v>64</v>
      </c>
      <c r="AO457" t="s">
        <v>74</v>
      </c>
      <c r="AP457" t="s">
        <v>75</v>
      </c>
    </row>
    <row r="458" spans="1:42" x14ac:dyDescent="0.25">
      <c r="A458" t="str">
        <f>HYPERLINK("HTTP://10.0.1.74/krs/767/detail","/krs/767")</f>
        <v>/krs/767</v>
      </c>
      <c r="B458">
        <v>767</v>
      </c>
      <c r="C458" t="s">
        <v>625</v>
      </c>
      <c r="D458" t="s">
        <v>47</v>
      </c>
      <c r="F458" t="s">
        <v>52</v>
      </c>
      <c r="G458" s="1">
        <v>43350</v>
      </c>
      <c r="H458" t="s">
        <v>88</v>
      </c>
      <c r="I458" t="s">
        <v>51</v>
      </c>
      <c r="J458" t="s">
        <v>626</v>
      </c>
      <c r="K458" s="3"/>
      <c r="L458" s="3"/>
      <c r="M458" s="3"/>
      <c r="N458" s="4"/>
      <c r="O458" s="3"/>
      <c r="P458" s="3"/>
      <c r="Q458" s="3"/>
      <c r="R458" s="3"/>
      <c r="S458" s="5"/>
      <c r="T458" s="5"/>
      <c r="U458" s="4"/>
      <c r="V458" s="4"/>
      <c r="W458" s="4"/>
      <c r="X458" s="4"/>
      <c r="Y458" s="4"/>
      <c r="Z458" s="4"/>
      <c r="AA458" s="3"/>
      <c r="AB458" s="3"/>
      <c r="AC458" s="5"/>
      <c r="AD458" s="4"/>
      <c r="AE458" s="4"/>
      <c r="AF458" s="4"/>
      <c r="AG458" s="4"/>
      <c r="AH458" s="4"/>
      <c r="AI458" s="4"/>
      <c r="AJ458" t="s">
        <v>52</v>
      </c>
      <c r="AK458" t="s">
        <v>52</v>
      </c>
      <c r="AL458" t="s">
        <v>52</v>
      </c>
      <c r="AM458" t="s">
        <v>52</v>
      </c>
      <c r="AN458" t="s">
        <v>52</v>
      </c>
      <c r="AO458" t="s">
        <v>52</v>
      </c>
      <c r="AP458" t="s">
        <v>52</v>
      </c>
    </row>
    <row r="459" spans="1:42" x14ac:dyDescent="0.25">
      <c r="A459" t="str">
        <f>HYPERLINK("HTTP://10.0.1.74/krs/768/detail","/krs/768")</f>
        <v>/krs/768</v>
      </c>
      <c r="B459">
        <v>768</v>
      </c>
      <c r="C459" t="s">
        <v>627</v>
      </c>
      <c r="D459" t="s">
        <v>47</v>
      </c>
      <c r="E459" t="s">
        <v>143</v>
      </c>
      <c r="F459" t="s">
        <v>339</v>
      </c>
      <c r="G459" s="1">
        <v>43349</v>
      </c>
      <c r="H459" t="s">
        <v>231</v>
      </c>
      <c r="I459" t="s">
        <v>51</v>
      </c>
      <c r="J459" t="s">
        <v>159</v>
      </c>
      <c r="K459" s="3"/>
      <c r="L459" s="3"/>
      <c r="M459" s="3"/>
      <c r="N459" s="4"/>
      <c r="O459" s="3"/>
      <c r="P459" s="3"/>
      <c r="Q459" s="3"/>
      <c r="R459" s="3"/>
      <c r="S459" s="5"/>
      <c r="T459" s="5"/>
      <c r="U459" s="4"/>
      <c r="V459" s="4"/>
      <c r="W459" s="4"/>
      <c r="X459" s="4"/>
      <c r="Y459" s="4"/>
      <c r="Z459" s="4"/>
      <c r="AA459" s="3"/>
      <c r="AB459" s="3"/>
      <c r="AC459" s="5"/>
      <c r="AD459" s="4"/>
      <c r="AE459" s="4"/>
      <c r="AF459" s="4"/>
      <c r="AG459" s="4"/>
      <c r="AH459" s="4"/>
      <c r="AI459" s="4"/>
      <c r="AJ459" t="s">
        <v>52</v>
      </c>
      <c r="AK459" t="s">
        <v>52</v>
      </c>
      <c r="AL459" t="s">
        <v>52</v>
      </c>
      <c r="AM459" t="s">
        <v>52</v>
      </c>
      <c r="AN459" t="s">
        <v>52</v>
      </c>
      <c r="AO459" t="s">
        <v>52</v>
      </c>
      <c r="AP459" t="s">
        <v>52</v>
      </c>
    </row>
    <row r="460" spans="1:42" x14ac:dyDescent="0.25">
      <c r="A460" t="str">
        <f>HYPERLINK("HTTP://10.0.1.74/krs/770/detail","/krs/770")</f>
        <v>/krs/770</v>
      </c>
      <c r="B460">
        <v>770</v>
      </c>
      <c r="C460" t="s">
        <v>46</v>
      </c>
      <c r="D460" t="s">
        <v>47</v>
      </c>
      <c r="F460" t="s">
        <v>52</v>
      </c>
      <c r="G460" s="1">
        <v>43349</v>
      </c>
      <c r="H460" t="s">
        <v>119</v>
      </c>
      <c r="I460" t="s">
        <v>51</v>
      </c>
      <c r="J460" t="s">
        <v>628</v>
      </c>
      <c r="K460" s="3"/>
      <c r="L460" s="3"/>
      <c r="M460" s="3"/>
      <c r="N460" s="4"/>
      <c r="O460" s="3"/>
      <c r="P460" s="3"/>
      <c r="Q460" s="3"/>
      <c r="R460" s="3"/>
      <c r="S460" s="5"/>
      <c r="T460" s="5"/>
      <c r="U460" s="4"/>
      <c r="V460" s="4"/>
      <c r="W460" s="4"/>
      <c r="X460" s="4"/>
      <c r="Y460" s="4"/>
      <c r="Z460" s="4"/>
      <c r="AA460" s="3"/>
      <c r="AB460" s="3"/>
      <c r="AC460" s="5"/>
      <c r="AD460" s="4"/>
      <c r="AE460" s="4"/>
      <c r="AF460" s="4"/>
      <c r="AG460" s="4"/>
      <c r="AH460" s="4"/>
      <c r="AI460" s="4"/>
      <c r="AJ460" t="s">
        <v>52</v>
      </c>
      <c r="AK460" t="s">
        <v>52</v>
      </c>
      <c r="AL460" t="s">
        <v>52</v>
      </c>
      <c r="AM460" t="s">
        <v>52</v>
      </c>
      <c r="AN460" t="s">
        <v>52</v>
      </c>
      <c r="AO460" t="s">
        <v>52</v>
      </c>
      <c r="AP460" t="s">
        <v>52</v>
      </c>
    </row>
    <row r="461" spans="1:42" x14ac:dyDescent="0.25">
      <c r="A461" t="str">
        <f>HYPERLINK("HTTP://10.0.1.74/krs/780/detail","/krs/780")</f>
        <v>/krs/780</v>
      </c>
      <c r="B461">
        <v>780</v>
      </c>
      <c r="C461" t="s">
        <v>629</v>
      </c>
      <c r="D461" t="s">
        <v>81</v>
      </c>
      <c r="F461" t="s">
        <v>52</v>
      </c>
      <c r="G461" s="1">
        <v>43357.716412037036</v>
      </c>
      <c r="H461" t="s">
        <v>158</v>
      </c>
      <c r="I461" t="s">
        <v>51</v>
      </c>
      <c r="J461" t="s">
        <v>630</v>
      </c>
      <c r="K461" s="3">
        <v>0</v>
      </c>
      <c r="L461" s="3">
        <v>0</v>
      </c>
      <c r="M461" s="3">
        <v>0</v>
      </c>
      <c r="N461" s="4">
        <v>0</v>
      </c>
      <c r="O461" s="3">
        <v>0</v>
      </c>
      <c r="P461" s="3"/>
      <c r="Q461" s="3">
        <v>0</v>
      </c>
      <c r="R461" s="3">
        <v>0</v>
      </c>
      <c r="S461" s="5">
        <v>0</v>
      </c>
      <c r="T461" s="5">
        <v>0</v>
      </c>
      <c r="U461" s="4">
        <v>0</v>
      </c>
      <c r="V461" s="4">
        <v>0</v>
      </c>
      <c r="W461" s="4">
        <v>0</v>
      </c>
      <c r="X461" s="4">
        <v>0</v>
      </c>
      <c r="Y461" s="4">
        <v>0</v>
      </c>
      <c r="Z461" s="4">
        <v>1</v>
      </c>
      <c r="AA461" s="3">
        <v>0</v>
      </c>
      <c r="AB461" s="3">
        <v>0</v>
      </c>
      <c r="AC461" s="5">
        <v>0</v>
      </c>
      <c r="AD461" s="4">
        <v>0</v>
      </c>
      <c r="AE461" s="4">
        <v>0</v>
      </c>
      <c r="AF461" s="4">
        <v>0</v>
      </c>
      <c r="AG461" s="4">
        <v>1</v>
      </c>
      <c r="AH461" s="4"/>
      <c r="AI461" s="4"/>
      <c r="AJ461" t="s">
        <v>72</v>
      </c>
      <c r="AK461" t="s">
        <v>86</v>
      </c>
      <c r="AL461" t="s">
        <v>86</v>
      </c>
      <c r="AM461" t="s">
        <v>63</v>
      </c>
      <c r="AN461" t="s">
        <v>97</v>
      </c>
      <c r="AO461" t="s">
        <v>79</v>
      </c>
      <c r="AP461" t="s">
        <v>75</v>
      </c>
    </row>
    <row r="462" spans="1:42" x14ac:dyDescent="0.25">
      <c r="A462" t="str">
        <f>HYPERLINK("HTTP://10.0.1.74/krs/825/detail","/krs/825")</f>
        <v>/krs/825</v>
      </c>
      <c r="B462">
        <v>825</v>
      </c>
      <c r="C462" t="s">
        <v>631</v>
      </c>
      <c r="D462" t="s">
        <v>47</v>
      </c>
      <c r="E462" t="s">
        <v>135</v>
      </c>
      <c r="F462" t="s">
        <v>147</v>
      </c>
      <c r="G462" s="1">
        <v>43359.914444444446</v>
      </c>
      <c r="H462" t="s">
        <v>412</v>
      </c>
      <c r="I462" t="s">
        <v>51</v>
      </c>
      <c r="J462" t="s">
        <v>632</v>
      </c>
      <c r="K462" s="3">
        <v>19</v>
      </c>
      <c r="L462" s="3">
        <v>275</v>
      </c>
      <c r="M462" s="3">
        <v>294</v>
      </c>
      <c r="N462" s="4">
        <v>0.06</v>
      </c>
      <c r="O462" s="3">
        <v>1</v>
      </c>
      <c r="P462" s="3"/>
      <c r="Q462" s="3">
        <v>1</v>
      </c>
      <c r="R462" s="3">
        <v>1</v>
      </c>
      <c r="S462" s="5">
        <v>5</v>
      </c>
      <c r="T462" s="5">
        <v>5</v>
      </c>
      <c r="U462" s="4">
        <v>1</v>
      </c>
      <c r="V462" s="4">
        <v>0.06</v>
      </c>
      <c r="W462" s="4">
        <v>1</v>
      </c>
      <c r="X462" s="4">
        <v>0</v>
      </c>
      <c r="Y462" s="4">
        <v>1</v>
      </c>
      <c r="Z462" s="4">
        <v>0.94</v>
      </c>
      <c r="AA462" s="3">
        <v>0</v>
      </c>
      <c r="AB462" s="3">
        <v>0</v>
      </c>
      <c r="AC462" s="5">
        <v>0</v>
      </c>
      <c r="AD462" s="4">
        <v>0</v>
      </c>
      <c r="AE462" s="4">
        <v>0</v>
      </c>
      <c r="AF462" s="4">
        <v>0</v>
      </c>
      <c r="AG462" s="4">
        <v>1</v>
      </c>
      <c r="AH462" s="4">
        <v>0.06</v>
      </c>
      <c r="AI462" s="4">
        <v>0</v>
      </c>
      <c r="AJ462" t="s">
        <v>60</v>
      </c>
      <c r="AK462" t="s">
        <v>86</v>
      </c>
      <c r="AL462" t="s">
        <v>62</v>
      </c>
      <c r="AM462" t="s">
        <v>63</v>
      </c>
      <c r="AN462" t="s">
        <v>64</v>
      </c>
      <c r="AO462" t="s">
        <v>79</v>
      </c>
      <c r="AP462" t="s">
        <v>75</v>
      </c>
    </row>
    <row r="463" spans="1:42" x14ac:dyDescent="0.25">
      <c r="A463" t="str">
        <f>HYPERLINK("HTTP://10.0.1.74/krs/853/detail","/krs/853")</f>
        <v>/krs/853</v>
      </c>
      <c r="B463">
        <v>853</v>
      </c>
      <c r="C463" t="s">
        <v>633</v>
      </c>
      <c r="D463" t="s">
        <v>310</v>
      </c>
      <c r="F463" t="s">
        <v>52</v>
      </c>
      <c r="G463" s="1">
        <v>43362.933217592596</v>
      </c>
      <c r="H463" t="s">
        <v>119</v>
      </c>
      <c r="I463" t="s">
        <v>51</v>
      </c>
      <c r="J463" t="s">
        <v>634</v>
      </c>
      <c r="K463" s="3"/>
      <c r="L463" s="3"/>
      <c r="M463" s="3"/>
      <c r="N463" s="4"/>
      <c r="O463" s="3"/>
      <c r="P463" s="3"/>
      <c r="Q463" s="3"/>
      <c r="R463" s="3"/>
      <c r="S463" s="5"/>
      <c r="T463" s="5"/>
      <c r="U463" s="4"/>
      <c r="V463" s="4"/>
      <c r="W463" s="4"/>
      <c r="X463" s="4"/>
      <c r="Y463" s="4"/>
      <c r="Z463" s="4"/>
      <c r="AA463" s="3"/>
      <c r="AB463" s="3"/>
      <c r="AC463" s="5"/>
      <c r="AD463" s="4"/>
      <c r="AE463" s="4"/>
      <c r="AF463" s="4"/>
      <c r="AG463" s="4"/>
      <c r="AH463" s="4"/>
      <c r="AI463" s="4"/>
      <c r="AJ463" t="s">
        <v>52</v>
      </c>
      <c r="AK463" t="s">
        <v>52</v>
      </c>
      <c r="AL463" t="s">
        <v>52</v>
      </c>
      <c r="AM463" t="s">
        <v>52</v>
      </c>
      <c r="AN463" t="s">
        <v>52</v>
      </c>
      <c r="AO463" t="s">
        <v>52</v>
      </c>
      <c r="AP463" t="s">
        <v>52</v>
      </c>
    </row>
    <row r="464" spans="1:42" x14ac:dyDescent="0.25">
      <c r="A464" t="str">
        <f>HYPERLINK("HTTP://10.0.1.74/krs/858/detail","/krs/858")</f>
        <v>/krs/858</v>
      </c>
      <c r="B464">
        <v>858</v>
      </c>
      <c r="C464" t="s">
        <v>635</v>
      </c>
      <c r="D464" t="s">
        <v>310</v>
      </c>
      <c r="F464" t="s">
        <v>52</v>
      </c>
      <c r="G464" s="1">
        <v>43363.391875000001</v>
      </c>
      <c r="H464" t="s">
        <v>486</v>
      </c>
      <c r="I464" t="s">
        <v>51</v>
      </c>
      <c r="J464" t="s">
        <v>636</v>
      </c>
      <c r="K464" s="3"/>
      <c r="L464" s="3"/>
      <c r="M464" s="3"/>
      <c r="N464" s="4"/>
      <c r="O464" s="3"/>
      <c r="P464" s="3"/>
      <c r="Q464" s="3"/>
      <c r="R464" s="3"/>
      <c r="S464" s="5"/>
      <c r="T464" s="5"/>
      <c r="U464" s="4"/>
      <c r="V464" s="4"/>
      <c r="W464" s="4"/>
      <c r="X464" s="4"/>
      <c r="Y464" s="4"/>
      <c r="Z464" s="4"/>
      <c r="AA464" s="3"/>
      <c r="AB464" s="3"/>
      <c r="AC464" s="5"/>
      <c r="AD464" s="4"/>
      <c r="AE464" s="4"/>
      <c r="AF464" s="4"/>
      <c r="AG464" s="4"/>
      <c r="AH464" s="4"/>
      <c r="AI464" s="4"/>
      <c r="AJ464" t="s">
        <v>52</v>
      </c>
      <c r="AK464" t="s">
        <v>52</v>
      </c>
      <c r="AL464" t="s">
        <v>52</v>
      </c>
      <c r="AM464" t="s">
        <v>52</v>
      </c>
      <c r="AN464" t="s">
        <v>52</v>
      </c>
      <c r="AO464" t="s">
        <v>52</v>
      </c>
      <c r="AP464" t="s">
        <v>52</v>
      </c>
    </row>
    <row r="465" spans="1:42" x14ac:dyDescent="0.25">
      <c r="A465" t="str">
        <f>HYPERLINK("HTTP://10.0.1.74/krs/869/detail","/krs/869")</f>
        <v>/krs/869</v>
      </c>
      <c r="B465">
        <v>869</v>
      </c>
      <c r="C465" t="s">
        <v>46</v>
      </c>
      <c r="D465" t="s">
        <v>310</v>
      </c>
      <c r="F465" t="s">
        <v>52</v>
      </c>
      <c r="G465" s="1">
        <v>43365.39949074074</v>
      </c>
      <c r="H465" t="s">
        <v>100</v>
      </c>
      <c r="I465" t="s">
        <v>51</v>
      </c>
      <c r="J465" t="s">
        <v>637</v>
      </c>
      <c r="K465" s="3"/>
      <c r="L465" s="3"/>
      <c r="M465" s="3"/>
      <c r="N465" s="4"/>
      <c r="O465" s="3"/>
      <c r="P465" s="3"/>
      <c r="Q465" s="3"/>
      <c r="R465" s="3"/>
      <c r="S465" s="5"/>
      <c r="T465" s="5"/>
      <c r="U465" s="4"/>
      <c r="V465" s="4"/>
      <c r="W465" s="4"/>
      <c r="X465" s="4"/>
      <c r="Y465" s="4"/>
      <c r="Z465" s="4"/>
      <c r="AA465" s="3"/>
      <c r="AB465" s="3"/>
      <c r="AC465" s="5"/>
      <c r="AD465" s="4"/>
      <c r="AE465" s="4"/>
      <c r="AF465" s="4"/>
      <c r="AG465" s="4"/>
      <c r="AH465" s="4"/>
      <c r="AI465" s="4"/>
      <c r="AJ465" t="s">
        <v>52</v>
      </c>
      <c r="AK465" t="s">
        <v>52</v>
      </c>
      <c r="AL465" t="s">
        <v>52</v>
      </c>
      <c r="AM465" t="s">
        <v>52</v>
      </c>
      <c r="AN465" t="s">
        <v>52</v>
      </c>
      <c r="AO465" t="s">
        <v>52</v>
      </c>
      <c r="AP465" t="s">
        <v>52</v>
      </c>
    </row>
    <row r="466" spans="1:42" x14ac:dyDescent="0.25">
      <c r="A466" t="str">
        <f>HYPERLINK("HTTP://10.0.1.74/krs/901/detail","/krs/901")</f>
        <v>/krs/901</v>
      </c>
      <c r="B466">
        <v>901</v>
      </c>
      <c r="C466" t="s">
        <v>53</v>
      </c>
      <c r="D466" t="s">
        <v>47</v>
      </c>
      <c r="E466" t="s">
        <v>87</v>
      </c>
      <c r="F466" t="s">
        <v>130</v>
      </c>
      <c r="G466" s="1">
        <v>43367.67050925926</v>
      </c>
      <c r="H466" t="s">
        <v>144</v>
      </c>
      <c r="I466" t="s">
        <v>51</v>
      </c>
      <c r="J466" t="s">
        <v>638</v>
      </c>
      <c r="K466" s="3"/>
      <c r="L466" s="3"/>
      <c r="M466" s="3"/>
      <c r="N466" s="4"/>
      <c r="O466" s="3"/>
      <c r="P466" s="3"/>
      <c r="Q466" s="3"/>
      <c r="R466" s="3"/>
      <c r="S466" s="5"/>
      <c r="T466" s="5"/>
      <c r="U466" s="4"/>
      <c r="V466" s="4"/>
      <c r="W466" s="4"/>
      <c r="X466" s="4"/>
      <c r="Y466" s="4"/>
      <c r="Z466" s="4"/>
      <c r="AA466" s="3"/>
      <c r="AB466" s="3"/>
      <c r="AC466" s="5"/>
      <c r="AD466" s="4"/>
      <c r="AE466" s="4"/>
      <c r="AF466" s="4"/>
      <c r="AG466" s="4"/>
      <c r="AH466" s="4"/>
      <c r="AI466" s="4"/>
      <c r="AJ466" t="s">
        <v>52</v>
      </c>
      <c r="AK466" t="s">
        <v>52</v>
      </c>
      <c r="AL466" t="s">
        <v>52</v>
      </c>
      <c r="AM466" t="s">
        <v>52</v>
      </c>
      <c r="AN466" t="s">
        <v>52</v>
      </c>
      <c r="AO466" t="s">
        <v>52</v>
      </c>
      <c r="AP466" t="s">
        <v>52</v>
      </c>
    </row>
  </sheetData>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Zeros="0" tabSelected="1" workbookViewId="0">
      <selection activeCell="D27" sqref="D27"/>
    </sheetView>
  </sheetViews>
  <sheetFormatPr defaultRowHeight="15" x14ac:dyDescent="0.25"/>
  <cols>
    <col min="1" max="1" width="22.85546875" bestFit="1" customWidth="1"/>
    <col min="2" max="2" width="10.5703125" bestFit="1" customWidth="1"/>
    <col min="3" max="3" width="9.85546875" bestFit="1" customWidth="1"/>
    <col min="4" max="5" width="18.7109375" bestFit="1" customWidth="1"/>
    <col min="6" max="6" width="16" bestFit="1" customWidth="1"/>
    <col min="7" max="10" width="4.5703125" bestFit="1" customWidth="1"/>
    <col min="11" max="11" width="4.5703125" customWidth="1"/>
    <col min="12" max="12" width="6.85546875" bestFit="1" customWidth="1"/>
    <col min="13" max="13" width="13.28515625" bestFit="1" customWidth="1"/>
    <col min="14" max="14" width="5.5703125" bestFit="1" customWidth="1"/>
    <col min="15" max="16" width="5" bestFit="1" customWidth="1"/>
    <col min="17" max="17" width="5.5703125" bestFit="1" customWidth="1"/>
    <col min="18" max="18" width="16.28515625" bestFit="1" customWidth="1"/>
    <col min="19" max="19" width="16.5703125" bestFit="1" customWidth="1"/>
  </cols>
  <sheetData>
    <row r="1" spans="1:19" x14ac:dyDescent="0.25">
      <c r="A1" s="6" t="s">
        <v>9</v>
      </c>
      <c r="B1" t="s">
        <v>639</v>
      </c>
    </row>
    <row r="2" spans="1:19" x14ac:dyDescent="0.25">
      <c r="A2" s="6" t="s">
        <v>7</v>
      </c>
      <c r="B2" t="s">
        <v>639</v>
      </c>
    </row>
    <row r="3" spans="1:19" x14ac:dyDescent="0.25">
      <c r="A3" s="6" t="s">
        <v>12</v>
      </c>
      <c r="B3" t="s">
        <v>639</v>
      </c>
    </row>
    <row r="4" spans="1:19" x14ac:dyDescent="0.25">
      <c r="A4" s="6" t="s">
        <v>39</v>
      </c>
      <c r="B4" t="s">
        <v>639</v>
      </c>
    </row>
    <row r="5" spans="1:19" x14ac:dyDescent="0.25">
      <c r="A5" s="6" t="s">
        <v>40</v>
      </c>
      <c r="B5" t="s">
        <v>639</v>
      </c>
    </row>
    <row r="6" spans="1:19" x14ac:dyDescent="0.25">
      <c r="A6" s="6" t="s">
        <v>41</v>
      </c>
      <c r="B6" t="s">
        <v>639</v>
      </c>
    </row>
    <row r="7" spans="1:19" x14ac:dyDescent="0.25">
      <c r="A7" s="6" t="s">
        <v>42</v>
      </c>
      <c r="B7" t="s">
        <v>639</v>
      </c>
    </row>
    <row r="8" spans="1:19" x14ac:dyDescent="0.25">
      <c r="A8" s="6" t="s">
        <v>43</v>
      </c>
      <c r="B8" t="s">
        <v>639</v>
      </c>
    </row>
    <row r="9" spans="1:19" x14ac:dyDescent="0.25">
      <c r="A9" s="6" t="s">
        <v>44</v>
      </c>
      <c r="B9" t="s">
        <v>639</v>
      </c>
    </row>
    <row r="10" spans="1:19" x14ac:dyDescent="0.25">
      <c r="A10" s="6" t="s">
        <v>45</v>
      </c>
      <c r="B10" t="s">
        <v>639</v>
      </c>
    </row>
    <row r="11" spans="1:19" x14ac:dyDescent="0.25">
      <c r="C11" s="2" t="s">
        <v>1</v>
      </c>
      <c r="D11" s="2"/>
      <c r="E11" s="2"/>
      <c r="F11" s="2"/>
      <c r="G11" s="2"/>
      <c r="H11" s="2"/>
      <c r="I11" s="2"/>
      <c r="J11" s="2"/>
      <c r="K11" s="2"/>
      <c r="L11" s="2"/>
      <c r="M11" s="2" t="s">
        <v>2</v>
      </c>
      <c r="N11" s="2"/>
      <c r="O11" s="2"/>
      <c r="P11" s="2"/>
      <c r="Q11" s="2"/>
      <c r="R11" s="2" t="s">
        <v>3</v>
      </c>
      <c r="S11" s="2"/>
    </row>
    <row r="12" spans="1:19" x14ac:dyDescent="0.25">
      <c r="C12" s="6" t="s">
        <v>640</v>
      </c>
    </row>
    <row r="13" spans="1:19" x14ac:dyDescent="0.25">
      <c r="A13" s="6" t="s">
        <v>641</v>
      </c>
      <c r="B13" s="6" t="s">
        <v>11</v>
      </c>
      <c r="C13" t="s">
        <v>642</v>
      </c>
      <c r="D13" t="s">
        <v>17</v>
      </c>
      <c r="E13" t="s">
        <v>22</v>
      </c>
      <c r="F13" t="s">
        <v>23</v>
      </c>
      <c r="G13" t="s">
        <v>24</v>
      </c>
      <c r="H13" t="s">
        <v>25</v>
      </c>
      <c r="I13" t="s">
        <v>26</v>
      </c>
      <c r="J13" t="s">
        <v>27</v>
      </c>
      <c r="K13" t="s">
        <v>28</v>
      </c>
      <c r="L13" t="s">
        <v>29</v>
      </c>
      <c r="M13" t="s">
        <v>32</v>
      </c>
      <c r="N13" t="s">
        <v>33</v>
      </c>
      <c r="O13" t="s">
        <v>34</v>
      </c>
      <c r="P13" t="s">
        <v>35</v>
      </c>
      <c r="Q13" t="s">
        <v>36</v>
      </c>
      <c r="R13" t="s">
        <v>37</v>
      </c>
      <c r="S13" t="s">
        <v>38</v>
      </c>
    </row>
    <row r="14" spans="1:19" x14ac:dyDescent="0.25">
      <c r="A14" t="s">
        <v>48</v>
      </c>
      <c r="C14" s="3">
        <v>8</v>
      </c>
      <c r="D14" s="4">
        <v>0.56000000000000005</v>
      </c>
      <c r="E14" s="7">
        <v>3.3999999999999995</v>
      </c>
      <c r="F14" s="7">
        <v>3</v>
      </c>
      <c r="G14" s="4">
        <v>0.7</v>
      </c>
      <c r="H14" s="4">
        <v>0.56000000000000005</v>
      </c>
      <c r="I14" s="4">
        <v>0.4</v>
      </c>
      <c r="J14" s="4">
        <v>0</v>
      </c>
      <c r="K14" s="4">
        <v>0.59000000000000008</v>
      </c>
      <c r="L14" s="4">
        <v>0.44</v>
      </c>
      <c r="M14" s="7">
        <v>0</v>
      </c>
      <c r="N14" s="4">
        <v>0</v>
      </c>
      <c r="O14" s="4">
        <v>0</v>
      </c>
      <c r="P14" s="4">
        <v>0</v>
      </c>
      <c r="Q14" s="4">
        <v>1</v>
      </c>
      <c r="R14" s="4">
        <v>0.61749999999999994</v>
      </c>
      <c r="S14" s="4">
        <v>0.40500000000000003</v>
      </c>
    </row>
    <row r="15" spans="1:19" x14ac:dyDescent="0.25">
      <c r="A15" t="s">
        <v>54</v>
      </c>
      <c r="C15" s="3">
        <v>68</v>
      </c>
      <c r="D15" s="4">
        <v>0.73500000000000021</v>
      </c>
      <c r="E15" s="7">
        <v>3.7725806451612907</v>
      </c>
      <c r="F15" s="7">
        <v>3.7709677419354843</v>
      </c>
      <c r="G15" s="4">
        <v>0.75677419354838704</v>
      </c>
      <c r="H15" s="4">
        <v>0.73500000000000021</v>
      </c>
      <c r="I15" s="4">
        <v>0.92596774193548392</v>
      </c>
      <c r="J15" s="4">
        <v>0.55951612903225811</v>
      </c>
      <c r="K15" s="4">
        <v>0.69177419354838732</v>
      </c>
      <c r="L15" s="4">
        <v>0.26500000000000012</v>
      </c>
      <c r="M15" s="7">
        <v>2.4370967741935479</v>
      </c>
      <c r="N15" s="4">
        <v>0.59370967741935476</v>
      </c>
      <c r="O15" s="4">
        <v>0.48806451612903223</v>
      </c>
      <c r="P15" s="4">
        <v>0.42838709677419351</v>
      </c>
      <c r="Q15" s="4">
        <v>0.51193548387096777</v>
      </c>
      <c r="R15" s="4">
        <v>0.74064516129032254</v>
      </c>
      <c r="S15" s="4">
        <v>0.44677419354838704</v>
      </c>
    </row>
    <row r="16" spans="1:19" x14ac:dyDescent="0.25">
      <c r="A16" t="s">
        <v>68</v>
      </c>
      <c r="C16" s="3">
        <v>58</v>
      </c>
      <c r="D16" s="4">
        <v>0.65357142857142825</v>
      </c>
      <c r="E16" s="7">
        <v>3.6178571428571416</v>
      </c>
      <c r="F16" s="7">
        <v>3.467857142857143</v>
      </c>
      <c r="G16" s="4">
        <v>0.69678571428571434</v>
      </c>
      <c r="H16" s="4">
        <v>0.65357142857142825</v>
      </c>
      <c r="I16" s="4">
        <v>0.79125000000000012</v>
      </c>
      <c r="J16" s="4">
        <v>0.28660714285714289</v>
      </c>
      <c r="K16" s="4">
        <v>0.61017857142857135</v>
      </c>
      <c r="L16" s="4">
        <v>0.34642857142857142</v>
      </c>
      <c r="M16" s="7">
        <v>1.4625000000000001</v>
      </c>
      <c r="N16" s="4">
        <v>0.35964285714285715</v>
      </c>
      <c r="O16" s="4">
        <v>0.29196428571428573</v>
      </c>
      <c r="P16" s="4">
        <v>0.22392857142857139</v>
      </c>
      <c r="Q16" s="4">
        <v>0.70803571428571443</v>
      </c>
      <c r="R16" s="4">
        <v>0.70053571428571415</v>
      </c>
      <c r="S16" s="4">
        <v>0.24321428571428574</v>
      </c>
    </row>
    <row r="17" spans="1:19" x14ac:dyDescent="0.25">
      <c r="A17" t="s">
        <v>87</v>
      </c>
      <c r="C17" s="3">
        <v>32</v>
      </c>
      <c r="D17" s="4">
        <v>0.67714285714285716</v>
      </c>
      <c r="E17" s="7">
        <v>3.6607142857142847</v>
      </c>
      <c r="F17" s="7">
        <v>3.5892857142857131</v>
      </c>
      <c r="G17" s="4">
        <v>0.72</v>
      </c>
      <c r="H17" s="4">
        <v>0.67714285714285716</v>
      </c>
      <c r="I17" s="4">
        <v>0.88107142857142862</v>
      </c>
      <c r="J17" s="4">
        <v>0.78642857142857125</v>
      </c>
      <c r="K17" s="4">
        <v>0.62714285714285722</v>
      </c>
      <c r="L17" s="4">
        <v>0.3228571428571429</v>
      </c>
      <c r="M17" s="7">
        <v>3.75</v>
      </c>
      <c r="N17" s="4">
        <v>0.92071428571428571</v>
      </c>
      <c r="O17" s="4">
        <v>0.74857142857142844</v>
      </c>
      <c r="P17" s="4">
        <v>0.63928571428571435</v>
      </c>
      <c r="Q17" s="4">
        <v>0.25142857142857145</v>
      </c>
      <c r="R17" s="4">
        <v>0.67892857142857144</v>
      </c>
      <c r="S17" s="4">
        <v>0.53357142857142859</v>
      </c>
    </row>
    <row r="18" spans="1:19" x14ac:dyDescent="0.25">
      <c r="A18" t="s">
        <v>94</v>
      </c>
      <c r="C18" s="3">
        <v>17</v>
      </c>
      <c r="D18" s="4">
        <v>0.63749999999999996</v>
      </c>
      <c r="E18" s="7">
        <v>3.4562499999999989</v>
      </c>
      <c r="F18" s="7">
        <v>3.5124999999999993</v>
      </c>
      <c r="G18" s="4">
        <v>0.70124999999999993</v>
      </c>
      <c r="H18" s="4">
        <v>0.63749999999999996</v>
      </c>
      <c r="I18" s="4">
        <v>0.9056249999999999</v>
      </c>
      <c r="J18" s="4">
        <v>0.75624999999999998</v>
      </c>
      <c r="K18" s="4">
        <v>0.4943749999999999</v>
      </c>
      <c r="L18" s="4">
        <v>0.36249999999999999</v>
      </c>
      <c r="M18" s="7">
        <v>3.2499999999999996</v>
      </c>
      <c r="N18" s="4">
        <v>0.8287500000000001</v>
      </c>
      <c r="O18" s="4">
        <v>0.65</v>
      </c>
      <c r="P18" s="4">
        <v>0.40437499999999998</v>
      </c>
      <c r="Q18" s="4">
        <v>0.35000000000000003</v>
      </c>
      <c r="R18" s="4">
        <v>0.70374999999999999</v>
      </c>
      <c r="S18" s="4">
        <v>0.36312500000000003</v>
      </c>
    </row>
    <row r="19" spans="1:19" x14ac:dyDescent="0.25">
      <c r="A19" t="s">
        <v>98</v>
      </c>
      <c r="C19" s="3">
        <v>66</v>
      </c>
      <c r="D19" s="4">
        <v>0.68629032258064515</v>
      </c>
      <c r="E19" s="7">
        <v>3.6741935483870969</v>
      </c>
      <c r="F19" s="7">
        <v>3.5435483870967754</v>
      </c>
      <c r="G19" s="4">
        <v>0.71612903225806479</v>
      </c>
      <c r="H19" s="4">
        <v>0.68629032258064515</v>
      </c>
      <c r="I19" s="4">
        <v>0.81193548387096759</v>
      </c>
      <c r="J19" s="4">
        <v>0.60048387096774203</v>
      </c>
      <c r="K19" s="4">
        <v>0.59322580645161305</v>
      </c>
      <c r="L19" s="4">
        <v>0.31370967741935479</v>
      </c>
      <c r="M19" s="7">
        <v>2.7290322580645157</v>
      </c>
      <c r="N19" s="4">
        <v>0.6583870967741936</v>
      </c>
      <c r="O19" s="4">
        <v>0.54532258064516126</v>
      </c>
      <c r="P19" s="4">
        <v>0.45596774193548389</v>
      </c>
      <c r="Q19" s="4">
        <v>0.45467741935483874</v>
      </c>
      <c r="R19" s="4">
        <v>0.68758064516129003</v>
      </c>
      <c r="S19" s="4">
        <v>0.40241935483870961</v>
      </c>
    </row>
    <row r="20" spans="1:19" x14ac:dyDescent="0.25">
      <c r="A20" t="s">
        <v>111</v>
      </c>
      <c r="C20" s="3">
        <v>20</v>
      </c>
      <c r="D20" s="4">
        <v>0.64249999999999996</v>
      </c>
      <c r="E20" s="7">
        <v>3.46</v>
      </c>
      <c r="F20" s="7">
        <v>3.5099999999999993</v>
      </c>
      <c r="G20" s="4">
        <v>0.70600000000000007</v>
      </c>
      <c r="H20" s="4">
        <v>0.64249999999999996</v>
      </c>
      <c r="I20" s="4">
        <v>0.89799999999999991</v>
      </c>
      <c r="J20" s="4">
        <v>0.77400000000000002</v>
      </c>
      <c r="K20" s="4">
        <v>0.51049999999999995</v>
      </c>
      <c r="L20" s="4">
        <v>0.35749999999999998</v>
      </c>
      <c r="M20" s="7">
        <v>3.7449999999999997</v>
      </c>
      <c r="N20" s="4">
        <v>0.92400000000000004</v>
      </c>
      <c r="O20" s="4">
        <v>0.75</v>
      </c>
      <c r="P20" s="4">
        <v>0.60450000000000004</v>
      </c>
      <c r="Q20" s="4">
        <v>0.25</v>
      </c>
      <c r="R20" s="4">
        <v>0.68349999999999989</v>
      </c>
      <c r="S20" s="4">
        <v>0.40350000000000003</v>
      </c>
    </row>
    <row r="21" spans="1:19" x14ac:dyDescent="0.25">
      <c r="A21" t="s">
        <v>125</v>
      </c>
      <c r="C21" s="3">
        <v>38</v>
      </c>
      <c r="D21" s="4">
        <v>0.58666666666666667</v>
      </c>
      <c r="E21" s="7">
        <v>3.2583333333333337</v>
      </c>
      <c r="F21" s="7">
        <v>3.2270270270270278</v>
      </c>
      <c r="G21" s="4">
        <v>0.65459459459459446</v>
      </c>
      <c r="H21" s="4">
        <v>0.58666666666666667</v>
      </c>
      <c r="I21" s="4">
        <v>0.78567567567567576</v>
      </c>
      <c r="J21" s="4">
        <v>0.27027027027027029</v>
      </c>
      <c r="K21" s="4">
        <v>0.39027027027027028</v>
      </c>
      <c r="L21" s="4">
        <v>0.41333333333333333</v>
      </c>
      <c r="M21" s="7">
        <v>1.9594594594594594</v>
      </c>
      <c r="N21" s="4">
        <v>0.48081081081081078</v>
      </c>
      <c r="O21" s="4">
        <v>0.39189189189189194</v>
      </c>
      <c r="P21" s="4">
        <v>0.32972972972972975</v>
      </c>
      <c r="Q21" s="4">
        <v>0.608108108108108</v>
      </c>
      <c r="R21" s="4">
        <v>0.65742857142857158</v>
      </c>
      <c r="S21" s="4">
        <v>0.2613513513513514</v>
      </c>
    </row>
    <row r="22" spans="1:19" x14ac:dyDescent="0.25">
      <c r="A22" t="s">
        <v>135</v>
      </c>
      <c r="C22" s="3">
        <v>48</v>
      </c>
      <c r="D22" s="4">
        <v>0.61124999999999974</v>
      </c>
      <c r="E22" s="7">
        <v>3.2999999999999994</v>
      </c>
      <c r="F22" s="7">
        <v>3.3041666666666667</v>
      </c>
      <c r="G22" s="4">
        <v>0.66145833333333326</v>
      </c>
      <c r="H22" s="4">
        <v>0.61124999999999974</v>
      </c>
      <c r="I22" s="4">
        <v>0.75770833333333354</v>
      </c>
      <c r="J22" s="4">
        <v>0.34187499999999998</v>
      </c>
      <c r="K22" s="4">
        <v>0.43270833333333319</v>
      </c>
      <c r="L22" s="4">
        <v>0.3887500000000001</v>
      </c>
      <c r="M22" s="7">
        <v>1.65625</v>
      </c>
      <c r="N22" s="4">
        <v>0.36375000000000002</v>
      </c>
      <c r="O22" s="4">
        <v>0.33104166666666662</v>
      </c>
      <c r="P22" s="4">
        <v>0.24104166666666671</v>
      </c>
      <c r="Q22" s="4">
        <v>0.66895833333333332</v>
      </c>
      <c r="R22" s="4">
        <v>0.61104166666666659</v>
      </c>
      <c r="S22" s="4">
        <v>0.11645833333333333</v>
      </c>
    </row>
    <row r="23" spans="1:19" x14ac:dyDescent="0.25">
      <c r="A23" t="s">
        <v>141</v>
      </c>
      <c r="C23" s="3">
        <v>19</v>
      </c>
      <c r="D23" s="4">
        <v>0.70187500000000003</v>
      </c>
      <c r="E23" s="7">
        <v>3.6812499999999999</v>
      </c>
      <c r="F23" s="7">
        <v>3.5125000000000002</v>
      </c>
      <c r="G23" s="4">
        <v>0.70312499999999989</v>
      </c>
      <c r="H23" s="4">
        <v>0.70187500000000003</v>
      </c>
      <c r="I23" s="4">
        <v>0.88875000000000004</v>
      </c>
      <c r="J23" s="4">
        <v>0.84250000000000003</v>
      </c>
      <c r="K23" s="4">
        <v>0.58000000000000007</v>
      </c>
      <c r="L23" s="4">
        <v>0.29812500000000003</v>
      </c>
      <c r="M23" s="7">
        <v>3.6749999999999998</v>
      </c>
      <c r="N23" s="4">
        <v>0.89312499999999995</v>
      </c>
      <c r="O23" s="4">
        <v>0.73499999999999999</v>
      </c>
      <c r="P23" s="4">
        <v>0.56625000000000014</v>
      </c>
      <c r="Q23" s="4">
        <v>0.26500000000000001</v>
      </c>
      <c r="R23" s="4">
        <v>0.74062499999999998</v>
      </c>
      <c r="S23" s="4">
        <v>0.57874999999999999</v>
      </c>
    </row>
    <row r="24" spans="1:19" x14ac:dyDescent="0.25">
      <c r="A24" t="s">
        <v>143</v>
      </c>
      <c r="C24" s="3">
        <v>35</v>
      </c>
      <c r="D24" s="4">
        <v>0.62125000000000008</v>
      </c>
      <c r="E24" s="7">
        <v>3.3843750000000004</v>
      </c>
      <c r="F24" s="7">
        <v>3.4593750000000001</v>
      </c>
      <c r="G24" s="4">
        <v>0.69312499999999999</v>
      </c>
      <c r="H24" s="4">
        <v>0.62125000000000008</v>
      </c>
      <c r="I24" s="4">
        <v>0.84843750000000007</v>
      </c>
      <c r="J24" s="4">
        <v>0.76874999999999993</v>
      </c>
      <c r="K24" s="4">
        <v>0.50906250000000008</v>
      </c>
      <c r="L24" s="4">
        <v>0.37874999999999998</v>
      </c>
      <c r="M24" s="7">
        <v>3.6156249999999996</v>
      </c>
      <c r="N24" s="4">
        <v>0.93437500000000007</v>
      </c>
      <c r="O24" s="4">
        <v>0.72218749999999998</v>
      </c>
      <c r="P24" s="4">
        <v>0.5340625</v>
      </c>
      <c r="Q24" s="4">
        <v>0.27781249999999996</v>
      </c>
      <c r="R24" s="4">
        <v>0.67031249999999976</v>
      </c>
      <c r="S24" s="4">
        <v>0.20749999999999999</v>
      </c>
    </row>
    <row r="25" spans="1:19" x14ac:dyDescent="0.25">
      <c r="A25" t="s">
        <v>157</v>
      </c>
      <c r="C25" s="3">
        <v>17</v>
      </c>
      <c r="D25" s="4">
        <v>0.62687500000000007</v>
      </c>
      <c r="E25" s="7">
        <v>3.4499999999999997</v>
      </c>
      <c r="F25" s="7">
        <v>3.6812499999999999</v>
      </c>
      <c r="G25" s="4">
        <v>0.73687499999999995</v>
      </c>
      <c r="H25" s="4">
        <v>0.62687500000000007</v>
      </c>
      <c r="I25" s="4">
        <v>0.87874999999999992</v>
      </c>
      <c r="J25" s="4">
        <v>0.66312500000000008</v>
      </c>
      <c r="K25" s="4">
        <v>0.62562499999999988</v>
      </c>
      <c r="L25" s="4">
        <v>0.37312499999999998</v>
      </c>
      <c r="M25" s="7">
        <v>3.84375</v>
      </c>
      <c r="N25" s="4">
        <v>0.93062500000000004</v>
      </c>
      <c r="O25" s="4">
        <v>0.76875000000000027</v>
      </c>
      <c r="P25" s="4">
        <v>0.75312500000000004</v>
      </c>
      <c r="Q25" s="4">
        <v>0.23125000000000004</v>
      </c>
      <c r="R25" s="4">
        <v>0.68125000000000002</v>
      </c>
      <c r="S25" s="4">
        <v>0.43187500000000001</v>
      </c>
    </row>
    <row r="26" spans="1:19" x14ac:dyDescent="0.25">
      <c r="A26" t="s">
        <v>160</v>
      </c>
      <c r="C26" s="3">
        <v>15</v>
      </c>
      <c r="D26" s="4">
        <v>0.64866666666666672</v>
      </c>
      <c r="E26" s="7">
        <v>3.5533333333333332</v>
      </c>
      <c r="F26" s="7">
        <v>3.3133333333333335</v>
      </c>
      <c r="G26" s="4">
        <v>0.66200000000000003</v>
      </c>
      <c r="H26" s="4">
        <v>0.64866666666666672</v>
      </c>
      <c r="I26" s="4">
        <v>0.80866666666666676</v>
      </c>
      <c r="J26" s="4">
        <v>0.78666666666666663</v>
      </c>
      <c r="K26" s="4">
        <v>0.50399999999999989</v>
      </c>
      <c r="L26" s="4">
        <v>0.35133333333333339</v>
      </c>
      <c r="M26" s="7">
        <v>4.120000000000001</v>
      </c>
      <c r="N26" s="4">
        <v>0.97066666666666668</v>
      </c>
      <c r="O26" s="4">
        <v>0.82199999999999995</v>
      </c>
      <c r="P26" s="4">
        <v>0.76533333333333331</v>
      </c>
      <c r="Q26" s="4">
        <v>0.17799999999999999</v>
      </c>
      <c r="R26" s="4">
        <v>0.69200000000000006</v>
      </c>
      <c r="S26" s="4">
        <v>0.48400000000000004</v>
      </c>
    </row>
    <row r="27" spans="1:19" x14ac:dyDescent="0.25">
      <c r="A27" t="s">
        <v>168</v>
      </c>
      <c r="C27" s="3">
        <v>10</v>
      </c>
      <c r="D27" s="4">
        <v>0.77400000000000013</v>
      </c>
      <c r="E27" s="7">
        <v>4.08</v>
      </c>
      <c r="F27" s="7">
        <v>4.1000000000000005</v>
      </c>
      <c r="G27" s="4">
        <v>0.81699999999999995</v>
      </c>
      <c r="H27" s="4">
        <v>0.77400000000000013</v>
      </c>
      <c r="I27" s="4">
        <v>0.9890000000000001</v>
      </c>
      <c r="J27" s="4">
        <v>0.57599999999999996</v>
      </c>
      <c r="K27" s="4">
        <v>0.80999999999999994</v>
      </c>
      <c r="L27" s="4">
        <v>0.22600000000000003</v>
      </c>
      <c r="M27" s="7">
        <v>2.87</v>
      </c>
      <c r="N27" s="4">
        <v>0.66799999999999993</v>
      </c>
      <c r="O27" s="4">
        <v>0.57299999999999995</v>
      </c>
      <c r="P27" s="4">
        <v>0.52699999999999991</v>
      </c>
      <c r="Q27" s="4">
        <v>0.42700000000000005</v>
      </c>
      <c r="R27" s="4">
        <v>0.77200000000000002</v>
      </c>
      <c r="S27" s="4">
        <v>0.76100000000000001</v>
      </c>
    </row>
    <row r="28" spans="1:19" x14ac:dyDescent="0.25">
      <c r="A28" t="s">
        <v>193</v>
      </c>
      <c r="C28" s="3">
        <v>2</v>
      </c>
      <c r="D28" s="4">
        <v>0.71</v>
      </c>
      <c r="E28" s="7">
        <v>3.8499999999999996</v>
      </c>
      <c r="F28" s="7">
        <v>3.75</v>
      </c>
      <c r="G28" s="4">
        <v>0.745</v>
      </c>
      <c r="H28" s="4">
        <v>0.71</v>
      </c>
      <c r="I28" s="4">
        <v>0.96500000000000008</v>
      </c>
      <c r="J28" s="4">
        <v>0.89500000000000002</v>
      </c>
      <c r="K28" s="4">
        <v>0.56000000000000005</v>
      </c>
      <c r="L28" s="4">
        <v>0.29000000000000004</v>
      </c>
      <c r="M28" s="7">
        <v>3.9499999999999997</v>
      </c>
      <c r="N28" s="4">
        <v>1</v>
      </c>
      <c r="O28" s="4">
        <v>0.79</v>
      </c>
      <c r="P28" s="4">
        <v>0.66500000000000004</v>
      </c>
      <c r="Q28" s="4">
        <v>0.21</v>
      </c>
      <c r="R28" s="4">
        <v>0.80499999999999994</v>
      </c>
      <c r="S28" s="4">
        <v>0.65500000000000003</v>
      </c>
    </row>
    <row r="29" spans="1:19" x14ac:dyDescent="0.25">
      <c r="A29" t="s">
        <v>292</v>
      </c>
      <c r="C29" s="3">
        <v>1</v>
      </c>
      <c r="D29" s="4">
        <v>0.6</v>
      </c>
      <c r="E29" s="7">
        <v>3.3</v>
      </c>
      <c r="F29" s="7">
        <v>3.4</v>
      </c>
      <c r="G29" s="4">
        <v>0.69</v>
      </c>
      <c r="H29" s="4">
        <v>0.6</v>
      </c>
      <c r="I29" s="4">
        <v>0.81</v>
      </c>
      <c r="J29" s="4">
        <v>0.7</v>
      </c>
      <c r="K29" s="4">
        <v>0.67</v>
      </c>
      <c r="L29" s="4">
        <v>0.4</v>
      </c>
      <c r="M29" s="7">
        <v>4.3</v>
      </c>
      <c r="N29" s="4">
        <v>0.99</v>
      </c>
      <c r="O29" s="4">
        <v>0.86</v>
      </c>
      <c r="P29" s="4">
        <v>0.86</v>
      </c>
      <c r="Q29" s="4">
        <v>0.14000000000000001</v>
      </c>
      <c r="R29" s="4">
        <v>0.61</v>
      </c>
      <c r="S29" s="4">
        <v>0</v>
      </c>
    </row>
    <row r="30" spans="1:19" x14ac:dyDescent="0.25">
      <c r="A30" t="s">
        <v>405</v>
      </c>
      <c r="C30" s="3">
        <v>3</v>
      </c>
      <c r="D30" s="4">
        <v>0.60333333333333339</v>
      </c>
      <c r="E30" s="7">
        <v>3.0999999999999996</v>
      </c>
      <c r="F30" s="7">
        <v>3.1999999999999997</v>
      </c>
      <c r="G30" s="4">
        <v>0.6333333333333333</v>
      </c>
      <c r="H30" s="4">
        <v>0.60333333333333339</v>
      </c>
      <c r="I30" s="4">
        <v>0.84333333333333327</v>
      </c>
      <c r="J30" s="4">
        <v>0</v>
      </c>
      <c r="K30" s="4">
        <v>0.3066666666666667</v>
      </c>
      <c r="L30" s="4">
        <v>0.39666666666666667</v>
      </c>
      <c r="M30" s="7">
        <v>0</v>
      </c>
      <c r="N30" s="4">
        <v>0</v>
      </c>
      <c r="O30" s="4">
        <v>0</v>
      </c>
      <c r="P30" s="4">
        <v>0</v>
      </c>
      <c r="Q30" s="4">
        <v>1</v>
      </c>
      <c r="R30" s="4">
        <v>0.62</v>
      </c>
      <c r="S30" s="4">
        <v>0.35666666666666669</v>
      </c>
    </row>
    <row r="31" spans="1:19" x14ac:dyDescent="0.25">
      <c r="A31" t="s">
        <v>643</v>
      </c>
      <c r="C31" s="3">
        <v>7</v>
      </c>
      <c r="D31" s="4">
        <v>0</v>
      </c>
      <c r="E31" s="7">
        <v>0</v>
      </c>
      <c r="F31" s="7">
        <v>0</v>
      </c>
      <c r="G31" s="4">
        <v>0</v>
      </c>
      <c r="H31" s="4">
        <v>0</v>
      </c>
      <c r="I31" s="4">
        <v>0</v>
      </c>
      <c r="J31" s="4">
        <v>0</v>
      </c>
      <c r="K31" s="4">
        <v>0</v>
      </c>
      <c r="L31" s="4">
        <v>1</v>
      </c>
      <c r="M31" s="7">
        <v>0</v>
      </c>
      <c r="N31" s="4">
        <v>0</v>
      </c>
      <c r="O31" s="4">
        <v>0</v>
      </c>
      <c r="P31" s="4">
        <v>0</v>
      </c>
      <c r="Q31" s="4">
        <v>1</v>
      </c>
      <c r="R31" s="4"/>
      <c r="S31" s="4"/>
    </row>
    <row r="32" spans="1:19" x14ac:dyDescent="0.25">
      <c r="A32" t="s">
        <v>644</v>
      </c>
      <c r="C32" s="3">
        <v>464</v>
      </c>
      <c r="D32" s="4">
        <v>0.65857476635514023</v>
      </c>
      <c r="E32" s="7">
        <v>3.5453271028037388</v>
      </c>
      <c r="F32" s="7">
        <v>3.5002331002330984</v>
      </c>
      <c r="G32" s="4">
        <v>0.70398601398601401</v>
      </c>
      <c r="H32" s="4">
        <v>0.65857476635514023</v>
      </c>
      <c r="I32" s="4">
        <v>0.83668997668997624</v>
      </c>
      <c r="J32" s="4">
        <v>0.54247086247086262</v>
      </c>
      <c r="K32" s="4">
        <v>0.5618648018648017</v>
      </c>
      <c r="L32" s="4">
        <v>0.34142523364485983</v>
      </c>
      <c r="M32" s="7">
        <v>2.6219114219114203</v>
      </c>
      <c r="N32" s="4">
        <v>0.63834498834498832</v>
      </c>
      <c r="O32" s="4">
        <v>0.52410256410256428</v>
      </c>
      <c r="P32" s="4">
        <v>0.43062937062937023</v>
      </c>
      <c r="Q32" s="4">
        <v>0.47589743589743561</v>
      </c>
      <c r="R32" s="4">
        <v>0.68758215962441349</v>
      </c>
      <c r="S32" s="4">
        <v>0.35521028037383162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vt:lpstr>
      <vt:lpstr>Свод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Сафарова Марина Леонидовна</cp:lastModifiedBy>
  <dcterms:created xsi:type="dcterms:W3CDTF">2018-09-28T07:58:54Z</dcterms:created>
  <dcterms:modified xsi:type="dcterms:W3CDTF">2018-09-28T08:00:53Z</dcterms:modified>
</cp:coreProperties>
</file>